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30" windowWidth="13215" windowHeight="12345" activeTab="0"/>
  </bookViews>
  <sheets>
    <sheet name="Verwaltung" sheetId="1" r:id="rId1"/>
  </sheets>
  <definedNames>
    <definedName name="_xlnm.Print_Titles" localSheetId="0">'Verwaltung'!$3:$3</definedName>
  </definedNames>
  <calcPr fullCalcOnLoad="1"/>
</workbook>
</file>

<file path=xl/sharedStrings.xml><?xml version="1.0" encoding="utf-8"?>
<sst xmlns="http://schemas.openxmlformats.org/spreadsheetml/2006/main" count="386" uniqueCount="224">
  <si>
    <t>HH-Stelle</t>
  </si>
  <si>
    <t>Bezeichnung</t>
  </si>
  <si>
    <t>Ansatz 2013</t>
  </si>
  <si>
    <t>Änderung Nachtrag</t>
  </si>
  <si>
    <t xml:space="preserve">Ansatz 2013 </t>
  </si>
  <si>
    <t>UA 020</t>
  </si>
  <si>
    <t>Fachbereich Zentrale Dienste</t>
  </si>
  <si>
    <t>020</t>
  </si>
  <si>
    <t>9350</t>
  </si>
  <si>
    <t>Erwerb von beweglichen Sachen</t>
  </si>
  <si>
    <t>9351</t>
  </si>
  <si>
    <t>Erwerb/Erweiterung EDV-Anlage</t>
  </si>
  <si>
    <t>neu</t>
  </si>
  <si>
    <t xml:space="preserve">Einnahmen </t>
  </si>
  <si>
    <t>Ausgaben</t>
  </si>
  <si>
    <t>Saldo</t>
  </si>
  <si>
    <t>UA 130</t>
  </si>
  <si>
    <t>Brandschutz</t>
  </si>
  <si>
    <t>130</t>
  </si>
  <si>
    <t>Erwerb Digitalfunk</t>
  </si>
  <si>
    <t>Zuschuss Kreis (Erwerb Digitalfunk)</t>
  </si>
  <si>
    <t>Bau- und Planungskosten (Blechfassade Halle 3, Fassadensanierung)</t>
  </si>
  <si>
    <t>36xx</t>
  </si>
  <si>
    <t>Zuschuss (Sonderbedarfszuweisung nach §17 FAG)</t>
  </si>
  <si>
    <t>Bau- und Planungskosten (Dachsanierung)</t>
  </si>
  <si>
    <t>UA 160</t>
  </si>
  <si>
    <t>Rettungsdienst</t>
  </si>
  <si>
    <t>x</t>
  </si>
  <si>
    <t>Zuschuss an DLRG (Einführung Digitalfunk)</t>
  </si>
  <si>
    <t>UA 230</t>
  </si>
  <si>
    <t>Lauenburgische Gelehrtenschule</t>
  </si>
  <si>
    <t>230</t>
  </si>
  <si>
    <t>3610</t>
  </si>
  <si>
    <t>UA 231</t>
  </si>
  <si>
    <t>Sportplatz Lauenburgische Gelehrtenschule</t>
  </si>
  <si>
    <t>UA 352</t>
  </si>
  <si>
    <t>Stadtbücherei</t>
  </si>
  <si>
    <t>352</t>
  </si>
  <si>
    <t>3620</t>
  </si>
  <si>
    <t>Zuweisung Kreis</t>
  </si>
  <si>
    <t>3670</t>
  </si>
  <si>
    <t>Zuweisung von Gesellsch./Körperschaften</t>
  </si>
  <si>
    <t>9353</t>
  </si>
  <si>
    <t>Anschaffung Bücher/Medien</t>
  </si>
  <si>
    <t>Umbaumaßnahmen Stellwerk</t>
  </si>
  <si>
    <t>UA 4602</t>
  </si>
  <si>
    <t>Jugend- und Sportheim Riemannstraße</t>
  </si>
  <si>
    <t>Bau- und Planungskosten (Fenstererneuerung Jobcenter)</t>
  </si>
  <si>
    <t>Lüftungsanlage Dusch- u. Umkleideräume</t>
  </si>
  <si>
    <t>UA 468</t>
  </si>
  <si>
    <t>übrige Einrichtungen der Jugendhilfe</t>
  </si>
  <si>
    <t>468</t>
  </si>
  <si>
    <t>UA 560</t>
  </si>
  <si>
    <t>Sportplatz Riemannstraße</t>
  </si>
  <si>
    <t>Tennenlaufbahn Riemannsportplatz</t>
  </si>
  <si>
    <t>Erneuerung Kunstrasenplatz Riemannstraße</t>
  </si>
  <si>
    <t>UA 580</t>
  </si>
  <si>
    <t>Park- und Gartenanlagen</t>
  </si>
  <si>
    <t>Erwerb von beweglichen Sachen (Papierkörbe)</t>
  </si>
  <si>
    <t>UA 610</t>
  </si>
  <si>
    <t>Orts- und Regionalplanung</t>
  </si>
  <si>
    <t>610</t>
  </si>
  <si>
    <t>3400</t>
  </si>
  <si>
    <t>Erlöse aus Grundstücksverkäufen</t>
  </si>
  <si>
    <t>9407</t>
  </si>
  <si>
    <t>Ortsplanung</t>
  </si>
  <si>
    <t>3600</t>
  </si>
  <si>
    <t>Zuweisung Bund (Städtebauförderung "Kleinere Städte und Gemeinden")</t>
  </si>
  <si>
    <t>Zuweisung Land (Städtebauförderung "Kleinere Städte und Gemeinden")</t>
  </si>
  <si>
    <t>9402</t>
  </si>
  <si>
    <t>Umsetzung d. Städtebauförderungsmaßnahmen "Kleinere Städte u. Gemeinden")</t>
  </si>
  <si>
    <t>UA 620</t>
  </si>
  <si>
    <t>Wohnungsbauförderung</t>
  </si>
  <si>
    <t>620</t>
  </si>
  <si>
    <t>3271</t>
  </si>
  <si>
    <t>Tilgung Baudarlehen</t>
  </si>
  <si>
    <t>9823</t>
  </si>
  <si>
    <t>Rückzahlung Kreismittel</t>
  </si>
  <si>
    <t>UA 630</t>
  </si>
  <si>
    <t>Gemeindestraßen</t>
  </si>
  <si>
    <t>630</t>
  </si>
  <si>
    <t>9500</t>
  </si>
  <si>
    <t>Ausbau- und Planungskosten (Anbindung Gewerbegebiet B 208)</t>
  </si>
  <si>
    <t>3xxx</t>
  </si>
  <si>
    <t>Bau- und Planungskosten (Uferpromenade Reeperbahn)</t>
  </si>
  <si>
    <t>Zuweisung Bund</t>
  </si>
  <si>
    <t>3650</t>
  </si>
  <si>
    <t>Zuweisung (anteilig) Ratzeburger Wirtschaftsbetriebe</t>
  </si>
  <si>
    <t>Beiträge dazu</t>
  </si>
  <si>
    <t>Bau- und Planungskosten (Ausbau Forellenweg)</t>
  </si>
  <si>
    <t>Bau- und Planungskosten (Ausbau Bäker Weg)</t>
  </si>
  <si>
    <t>Anliegerbeiträge (Ausbau Bäker Weg)</t>
  </si>
  <si>
    <t>Bau- und Planungskosten (Ausbau Bergstraße)</t>
  </si>
  <si>
    <t>Anliegerbeiträge (Ausbau Bergstraße)</t>
  </si>
  <si>
    <t>Zuweisung Land</t>
  </si>
  <si>
    <t>UA 690</t>
  </si>
  <si>
    <t>Wasserläufe, Wasserbau</t>
  </si>
  <si>
    <t>690</t>
  </si>
  <si>
    <t>9400</t>
  </si>
  <si>
    <t>Bau- und Planungskosten</t>
  </si>
  <si>
    <t>UA 880</t>
  </si>
  <si>
    <t>Allgemeines Grundvermögen</t>
  </si>
  <si>
    <t>880</t>
  </si>
  <si>
    <t>UA 910</t>
  </si>
  <si>
    <t>Sonstige allgemeine Finanzwirtschaft</t>
  </si>
  <si>
    <t>910</t>
  </si>
  <si>
    <t>3000</t>
  </si>
  <si>
    <t>Zuführung vom Verwaltungshaushalt</t>
  </si>
  <si>
    <t>3001</t>
  </si>
  <si>
    <t>Zuführung vom Verwaltungshaushalt (Stiftung Altenhilfe)</t>
  </si>
  <si>
    <t>3002</t>
  </si>
  <si>
    <t>Zuführung vom Verwaltungshaushalt (Stiftung Ratzeburger Wohltäter)</t>
  </si>
  <si>
    <t>3190</t>
  </si>
  <si>
    <t>Entnahme aus Stiftungsrücklagen</t>
  </si>
  <si>
    <t>3191</t>
  </si>
  <si>
    <t>Entnahme Stiftungsrücklage 'Altenhilfe'</t>
  </si>
  <si>
    <t>3778</t>
  </si>
  <si>
    <t>Darlehen privaten Unternehmen</t>
  </si>
  <si>
    <t>9000</t>
  </si>
  <si>
    <t>Zuführung zum Verwaltungshaushalt</t>
  </si>
  <si>
    <t>9100</t>
  </si>
  <si>
    <t>Zuführung an Rücklagen</t>
  </si>
  <si>
    <t>9190</t>
  </si>
  <si>
    <t>Zuführung an die Stiftungsrücklage (Stiftung Altenhilfe)</t>
  </si>
  <si>
    <t>Zuführung an die Stiftungsrücklage (Stiftung Ratzeburger Wohltäter)</t>
  </si>
  <si>
    <t>9708</t>
  </si>
  <si>
    <t>Tilgung Bundesdarlehen</t>
  </si>
  <si>
    <t>9788</t>
  </si>
  <si>
    <t>Tilgung übrige Bereiche</t>
  </si>
  <si>
    <t/>
  </si>
  <si>
    <t>Einnahmen VMH</t>
  </si>
  <si>
    <t>Ausgaben VMH</t>
  </si>
  <si>
    <t xml:space="preserve">Saldo </t>
  </si>
  <si>
    <t>Zuschuss Kreis (Feuerschutzsteuer)</t>
  </si>
  <si>
    <t xml:space="preserve">Shared Space, Schrangenstraße (Abschnitt Am Markt - Kl. Wallstraße) </t>
  </si>
  <si>
    <t>Ansatz einschl. 
I. NT-HH</t>
  </si>
  <si>
    <t>II. Nachtrag
(+/-)</t>
  </si>
  <si>
    <t>Erwerb von beweglichen Sachen (Beschaffung Drehleiter/Hubsteiger)</t>
  </si>
  <si>
    <t>UA 350</t>
  </si>
  <si>
    <t>Volkshochschule</t>
  </si>
  <si>
    <t>UA 4644</t>
  </si>
  <si>
    <t>Montessori Kinderhaus</t>
  </si>
  <si>
    <t>Zuschuss zweite Krippengruppe</t>
  </si>
  <si>
    <t>Umbau Gebäudeteil 1</t>
  </si>
  <si>
    <t>Sanierung WC-Anlagen</t>
  </si>
  <si>
    <t>Sanierung Außentreppenanlage</t>
  </si>
  <si>
    <t>Erwerb/Erweiterung EDV-Anlage (elektronische Erfassung im Gewerbebereich)</t>
  </si>
  <si>
    <t>Bau- und Planungskosten (Zaunbau Bolzplatz LG)</t>
  </si>
  <si>
    <t>Erwerb von Sitzbänken</t>
  </si>
  <si>
    <t>Errichtung Pegelbrunnen "Alte Meierei" (Altlasten)</t>
  </si>
  <si>
    <t>Technischer Objektschutz und Beleuchtungssteuerung Rathaus</t>
  </si>
  <si>
    <t>Ansatz 2014</t>
  </si>
  <si>
    <t>Erwerb von beweglichen Sachen (Möblierung Ratssaal)</t>
  </si>
  <si>
    <t>Erwerb/Erweiterung EDV-Anlage (Neuausstattung PC-Räume)</t>
  </si>
  <si>
    <t>erforderliche Kreditaufnahme gem. Entwurf</t>
  </si>
  <si>
    <t>Entwurf 2015</t>
  </si>
  <si>
    <t>Endfassung</t>
  </si>
  <si>
    <t>Erwerb/Erweiterung EDV-Anlage (Übern. Telefon-Anlage)</t>
  </si>
  <si>
    <t>Summe</t>
  </si>
  <si>
    <t>aus Entwurf gestrichen</t>
  </si>
  <si>
    <t>Ausbau- und Planungskosten Südliche Sammelstraße</t>
  </si>
  <si>
    <t>Änderungen</t>
  </si>
  <si>
    <t>UA 4361</t>
  </si>
  <si>
    <t>Unterbringung von Flüchtlingen</t>
  </si>
  <si>
    <t>KAG-Beiträge Ausgabe für verkauftes Grundst.</t>
  </si>
  <si>
    <t>gekürzt</t>
  </si>
  <si>
    <t>laut Genehmigung KA möglich</t>
  </si>
  <si>
    <t>Kürzungsnotwendigkeit</t>
  </si>
  <si>
    <t>Plan 2016</t>
  </si>
  <si>
    <t>Plan 2017</t>
  </si>
  <si>
    <t>Plan 2018</t>
  </si>
  <si>
    <t>UA 670</t>
  </si>
  <si>
    <t>Straßenbeleuchtung</t>
  </si>
  <si>
    <t>Erneuerung Straßenlaternen</t>
  </si>
  <si>
    <t>Bushaltestelle Ziethener Str. (GVFG-Zuschuss)</t>
  </si>
  <si>
    <t>Bushaltestelle Ziethener Str. (Bau- u. Planungskosten)</t>
  </si>
  <si>
    <t>Anschaffung langlebiger Sportgeräte</t>
  </si>
  <si>
    <t>Plan 2019</t>
  </si>
  <si>
    <t>Verkaufserlös alte Drehleiter</t>
  </si>
  <si>
    <t>Zuschuss des Landes dazu</t>
  </si>
  <si>
    <t>Baukosten Schulstraße</t>
  </si>
  <si>
    <t>Baukosten Riemannstraße</t>
  </si>
  <si>
    <t>aktiv region</t>
  </si>
  <si>
    <t>Zuschuss Dritter</t>
  </si>
  <si>
    <t>Plan 2015</t>
  </si>
  <si>
    <t xml:space="preserve">Vermögenshaushalt 2016 </t>
  </si>
  <si>
    <t>2016 neu</t>
  </si>
  <si>
    <t>Erwerb/Erweiterung EDV-Anlage (Prosoz)</t>
  </si>
  <si>
    <t>Zuschuss Kreis (allgemeine Besch.)</t>
  </si>
  <si>
    <t>1 Jahr vorgezogen</t>
  </si>
  <si>
    <t>Ablösung Einstellplätze</t>
  </si>
  <si>
    <t>Entwurf!!!</t>
  </si>
  <si>
    <t>Bau- und Planungskosten (Parkdeck Schrangenstraße))</t>
  </si>
  <si>
    <t>Behindertenparkplätze</t>
  </si>
  <si>
    <t>Energetische Sanierung</t>
  </si>
  <si>
    <t>Erwerb von beweglichen Sachen (Beschaffung MTW JF)</t>
  </si>
  <si>
    <t>Erneuerung Sporthallenboden</t>
  </si>
  <si>
    <t>UA 300</t>
  </si>
  <si>
    <t>Bildungszentrum EBR</t>
  </si>
  <si>
    <t>diverse Anmeldungen ohne Beträge</t>
  </si>
  <si>
    <t>UA 4515</t>
  </si>
  <si>
    <t>Sonstige Jugendarbeit</t>
  </si>
  <si>
    <t>Kickboxtrainingsgeräte</t>
  </si>
  <si>
    <t>dito</t>
  </si>
  <si>
    <t>UA 4640</t>
  </si>
  <si>
    <t>Kindergarten Domhof</t>
  </si>
  <si>
    <t>Bau- und Planungskosten (Erneuerung Hebeschiebetüren)</t>
  </si>
  <si>
    <t>Erwerb v. beweglichen Sachen (Spielgeräte allgemein und Badestelle Schlosswiese)</t>
  </si>
  <si>
    <t>UA 891</t>
  </si>
  <si>
    <t>Stiftung Altenhilfe</t>
  </si>
  <si>
    <t>Sanierung Hospital zum Heiligen Geist</t>
  </si>
  <si>
    <t>spätere</t>
  </si>
  <si>
    <t>Jahre</t>
  </si>
  <si>
    <t>summe</t>
  </si>
  <si>
    <t>richtig</t>
  </si>
  <si>
    <t>diff.</t>
  </si>
  <si>
    <t>2011 bis 2014</t>
  </si>
  <si>
    <t>F-Plan</t>
  </si>
  <si>
    <t>Zuweisung Bund (Städtebauförderung "städtebaulicher Denkmalschutz")</t>
  </si>
  <si>
    <t xml:space="preserve"> </t>
  </si>
  <si>
    <t>Zuweisung Land (Städtebauförderung "städtebaulicher Denkmalschutz")</t>
  </si>
  <si>
    <t>Umsetzung d. Städtebauförderungsmaßnahmen "städtebaulicher Denkmalschutz")</t>
  </si>
  <si>
    <t>Seufzerbrücke             Anmeldung ist gesondert im Ausschuss zu beraten</t>
  </si>
  <si>
    <t>Radwegesanierung (Rest Möllner Str)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</si>
</sst>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[Red]\(#,##0\)"/>
    <numFmt numFmtId="165" formatCode="#,##0.0"/>
    <numFmt numFmtId="166" formatCode="#,##0.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8"/>
      <name val="Verdana"/>
      <family val="2"/>
    </font>
    <font>
      <sz val="10"/>
      <name val="Verdana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dotted"/>
      <top/>
      <bottom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>
        <color indexed="63"/>
      </right>
      <top/>
      <bottom style="medium"/>
    </border>
    <border>
      <left style="medium"/>
      <right style="dotted"/>
      <top/>
      <bottom/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/>
      <bottom style="medium"/>
    </border>
    <border>
      <left style="dotted"/>
      <right style="medium"/>
      <top/>
      <bottom style="medium"/>
    </border>
    <border>
      <left style="dotted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>
        <color indexed="63"/>
      </right>
      <top/>
      <bottom style="thin"/>
    </border>
    <border>
      <left style="medium"/>
      <right style="dotted"/>
      <top/>
      <bottom style="thin"/>
    </border>
    <border>
      <left style="dotted"/>
      <right style="medium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thin"/>
      <right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/>
      <bottom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>
        <color indexed="63"/>
      </right>
      <top style="thin"/>
      <bottom/>
    </border>
    <border>
      <left style="medium"/>
      <right style="dotted"/>
      <top style="thin"/>
      <bottom/>
    </border>
    <border>
      <left style="dotted"/>
      <right style="medium"/>
      <top style="thin"/>
      <bottom/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/>
    </border>
    <border>
      <left>
        <color indexed="63"/>
      </left>
      <right style="medium"/>
      <top style="thin"/>
      <bottom/>
    </border>
    <border>
      <left style="medium"/>
      <right/>
      <top style="medium"/>
      <bottom style="medium"/>
    </border>
  </borders>
  <cellStyleXfs count="7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3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30" fillId="0" borderId="0" applyFont="0" applyFill="0" applyBorder="0" applyAlignment="0" applyProtection="0"/>
    <xf numFmtId="0" fontId="39" fillId="29" borderId="0" applyNumberFormat="0" applyBorder="0" applyAlignment="0" applyProtection="0"/>
    <xf numFmtId="164" fontId="0" fillId="0" borderId="0" applyFont="0" applyBorder="0" applyAlignment="0" applyProtection="0"/>
    <xf numFmtId="0" fontId="30" fillId="30" borderId="4" applyNumberFormat="0" applyFont="0" applyAlignment="0" applyProtection="0"/>
    <xf numFmtId="0" fontId="31" fillId="30" borderId="4" applyNumberFormat="0" applyFont="0" applyAlignment="0" applyProtection="0"/>
    <xf numFmtId="9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6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3" fontId="4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3" fontId="5" fillId="0" borderId="14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left"/>
    </xf>
    <xf numFmtId="3" fontId="4" fillId="0" borderId="14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3" fontId="3" fillId="0" borderId="14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3" fontId="3" fillId="0" borderId="22" xfId="0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49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9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 horizontal="right"/>
    </xf>
    <xf numFmtId="3" fontId="4" fillId="0" borderId="25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 horizontal="right"/>
    </xf>
    <xf numFmtId="3" fontId="3" fillId="0" borderId="28" xfId="0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0" fontId="5" fillId="0" borderId="31" xfId="0" applyFont="1" applyFill="1" applyBorder="1" applyAlignment="1">
      <alignment horizontal="right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left"/>
    </xf>
    <xf numFmtId="3" fontId="5" fillId="0" borderId="35" xfId="0" applyNumberFormat="1" applyFont="1" applyFill="1" applyBorder="1" applyAlignment="1">
      <alignment horizontal="right"/>
    </xf>
    <xf numFmtId="3" fontId="5" fillId="0" borderId="36" xfId="0" applyNumberFormat="1" applyFont="1" applyFill="1" applyBorder="1" applyAlignment="1">
      <alignment horizontal="right"/>
    </xf>
    <xf numFmtId="3" fontId="4" fillId="0" borderId="37" xfId="0" applyNumberFormat="1" applyFont="1" applyFill="1" applyBorder="1" applyAlignment="1">
      <alignment/>
    </xf>
    <xf numFmtId="3" fontId="5" fillId="0" borderId="38" xfId="0" applyNumberFormat="1" applyFont="1" applyFill="1" applyBorder="1" applyAlignment="1">
      <alignment horizontal="right"/>
    </xf>
    <xf numFmtId="3" fontId="5" fillId="0" borderId="39" xfId="0" applyNumberFormat="1" applyFont="1" applyFill="1" applyBorder="1" applyAlignment="1">
      <alignment/>
    </xf>
    <xf numFmtId="3" fontId="5" fillId="0" borderId="32" xfId="0" applyNumberFormat="1" applyFont="1" applyFill="1" applyBorder="1" applyAlignment="1">
      <alignment horizontal="right"/>
    </xf>
    <xf numFmtId="0" fontId="7" fillId="0" borderId="40" xfId="0" applyFont="1" applyFill="1" applyBorder="1" applyAlignment="1">
      <alignment/>
    </xf>
    <xf numFmtId="3" fontId="7" fillId="0" borderId="40" xfId="0" applyNumberFormat="1" applyFont="1" applyFill="1" applyBorder="1" applyAlignment="1">
      <alignment/>
    </xf>
    <xf numFmtId="3" fontId="3" fillId="0" borderId="40" xfId="0" applyNumberFormat="1" applyFont="1" applyFill="1" applyBorder="1" applyAlignment="1">
      <alignment/>
    </xf>
    <xf numFmtId="0" fontId="3" fillId="0" borderId="41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/>
    </xf>
    <xf numFmtId="0" fontId="5" fillId="0" borderId="45" xfId="0" applyFont="1" applyFill="1" applyBorder="1" applyAlignment="1">
      <alignment horizontal="right"/>
    </xf>
    <xf numFmtId="0" fontId="5" fillId="0" borderId="40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left"/>
    </xf>
    <xf numFmtId="0" fontId="5" fillId="0" borderId="47" xfId="0" applyFont="1" applyFill="1" applyBorder="1" applyAlignment="1">
      <alignment horizontal="left"/>
    </xf>
    <xf numFmtId="3" fontId="5" fillId="0" borderId="48" xfId="0" applyNumberFormat="1" applyFont="1" applyFill="1" applyBorder="1" applyAlignment="1">
      <alignment horizontal="right"/>
    </xf>
    <xf numFmtId="3" fontId="5" fillId="0" borderId="49" xfId="0" applyNumberFormat="1" applyFont="1" applyFill="1" applyBorder="1" applyAlignment="1">
      <alignment horizontal="right"/>
    </xf>
    <xf numFmtId="3" fontId="5" fillId="0" borderId="50" xfId="0" applyNumberFormat="1" applyFont="1" applyFill="1" applyBorder="1" applyAlignment="1">
      <alignment/>
    </xf>
    <xf numFmtId="3" fontId="5" fillId="0" borderId="51" xfId="0" applyNumberFormat="1" applyFont="1" applyFill="1" applyBorder="1" applyAlignment="1">
      <alignment horizontal="right"/>
    </xf>
    <xf numFmtId="3" fontId="5" fillId="0" borderId="52" xfId="0" applyNumberFormat="1" applyFont="1" applyFill="1" applyBorder="1" applyAlignment="1">
      <alignment/>
    </xf>
    <xf numFmtId="3" fontId="5" fillId="0" borderId="40" xfId="0" applyNumberFormat="1" applyFont="1" applyFill="1" applyBorder="1" applyAlignment="1">
      <alignment horizontal="right"/>
    </xf>
    <xf numFmtId="3" fontId="48" fillId="0" borderId="17" xfId="0" applyNumberFormat="1" applyFont="1" applyFill="1" applyBorder="1" applyAlignment="1">
      <alignment/>
    </xf>
    <xf numFmtId="0" fontId="3" fillId="0" borderId="53" xfId="0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/>
    </xf>
    <xf numFmtId="3" fontId="5" fillId="0" borderId="54" xfId="0" applyNumberFormat="1" applyFont="1" applyFill="1" applyBorder="1" applyAlignment="1">
      <alignment horizontal="right"/>
    </xf>
    <xf numFmtId="3" fontId="3" fillId="0" borderId="55" xfId="0" applyNumberFormat="1" applyFont="1" applyFill="1" applyBorder="1" applyAlignment="1">
      <alignment horizontal="right"/>
    </xf>
    <xf numFmtId="3" fontId="3" fillId="0" borderId="45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3" fontId="5" fillId="0" borderId="45" xfId="0" applyNumberFormat="1" applyFont="1" applyFill="1" applyBorder="1" applyAlignment="1">
      <alignment horizontal="right"/>
    </xf>
    <xf numFmtId="0" fontId="3" fillId="0" borderId="53" xfId="0" applyFont="1" applyFill="1" applyBorder="1" applyAlignment="1">
      <alignment horizontal="center" vertical="center"/>
    </xf>
    <xf numFmtId="3" fontId="4" fillId="0" borderId="54" xfId="0" applyNumberFormat="1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48" fillId="0" borderId="55" xfId="0" applyNumberFormat="1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0" fillId="0" borderId="54" xfId="0" applyFill="1" applyBorder="1" applyAlignment="1">
      <alignment/>
    </xf>
    <xf numFmtId="0" fontId="0" fillId="0" borderId="45" xfId="0" applyFill="1" applyBorder="1" applyAlignment="1">
      <alignment/>
    </xf>
    <xf numFmtId="3" fontId="4" fillId="0" borderId="47" xfId="0" applyNumberFormat="1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56" xfId="0" applyFont="1" applyFill="1" applyBorder="1" applyAlignment="1">
      <alignment/>
    </xf>
    <xf numFmtId="3" fontId="4" fillId="0" borderId="56" xfId="0" applyNumberFormat="1" applyFont="1" applyFill="1" applyBorder="1" applyAlignment="1">
      <alignment/>
    </xf>
    <xf numFmtId="3" fontId="3" fillId="0" borderId="57" xfId="0" applyNumberFormat="1" applyFont="1" applyFill="1" applyBorder="1" applyAlignment="1">
      <alignment horizontal="right"/>
    </xf>
    <xf numFmtId="3" fontId="4" fillId="0" borderId="57" xfId="0" applyNumberFormat="1" applyFont="1" applyFill="1" applyBorder="1" applyAlignment="1">
      <alignment/>
    </xf>
    <xf numFmtId="3" fontId="3" fillId="0" borderId="56" xfId="0" applyNumberFormat="1" applyFont="1" applyFill="1" applyBorder="1" applyAlignment="1">
      <alignment horizontal="right"/>
    </xf>
    <xf numFmtId="3" fontId="4" fillId="0" borderId="58" xfId="0" applyNumberFormat="1" applyFont="1" applyFill="1" applyBorder="1" applyAlignment="1">
      <alignment/>
    </xf>
    <xf numFmtId="3" fontId="0" fillId="0" borderId="56" xfId="0" applyNumberFormat="1" applyFill="1" applyBorder="1" applyAlignment="1">
      <alignment/>
    </xf>
    <xf numFmtId="3" fontId="3" fillId="0" borderId="59" xfId="0" applyNumberFormat="1" applyFont="1" applyFill="1" applyBorder="1" applyAlignment="1">
      <alignment horizontal="right"/>
    </xf>
    <xf numFmtId="0" fontId="3" fillId="0" borderId="60" xfId="0" applyFont="1" applyFill="1" applyBorder="1" applyAlignment="1">
      <alignment horizontal="center" vertical="center"/>
    </xf>
    <xf numFmtId="3" fontId="4" fillId="0" borderId="61" xfId="0" applyNumberFormat="1" applyFont="1" applyFill="1" applyBorder="1" applyAlignment="1">
      <alignment/>
    </xf>
    <xf numFmtId="3" fontId="3" fillId="0" borderId="62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 horizontal="right"/>
    </xf>
    <xf numFmtId="3" fontId="0" fillId="0" borderId="13" xfId="0" applyNumberFormat="1" applyFill="1" applyBorder="1" applyAlignment="1">
      <alignment/>
    </xf>
    <xf numFmtId="3" fontId="3" fillId="0" borderId="21" xfId="0" applyNumberFormat="1" applyFont="1" applyFill="1" applyBorder="1" applyAlignment="1">
      <alignment horizontal="right"/>
    </xf>
    <xf numFmtId="0" fontId="4" fillId="0" borderId="63" xfId="0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3" fillId="0" borderId="64" xfId="0" applyFont="1" applyFill="1" applyBorder="1" applyAlignment="1">
      <alignment horizontal="center" vertical="center" wrapText="1"/>
    </xf>
    <xf numFmtId="3" fontId="5" fillId="0" borderId="57" xfId="0" applyNumberFormat="1" applyFont="1" applyFill="1" applyBorder="1" applyAlignment="1">
      <alignment horizontal="right"/>
    </xf>
    <xf numFmtId="3" fontId="4" fillId="0" borderId="65" xfId="0" applyNumberFormat="1" applyFont="1" applyFill="1" applyBorder="1" applyAlignment="1">
      <alignment/>
    </xf>
    <xf numFmtId="3" fontId="5" fillId="0" borderId="57" xfId="0" applyNumberFormat="1" applyFont="1" applyFill="1" applyBorder="1" applyAlignment="1">
      <alignment/>
    </xf>
    <xf numFmtId="3" fontId="4" fillId="0" borderId="66" xfId="0" applyNumberFormat="1" applyFont="1" applyFill="1" applyBorder="1" applyAlignment="1">
      <alignment/>
    </xf>
    <xf numFmtId="0" fontId="0" fillId="0" borderId="66" xfId="0" applyFill="1" applyBorder="1" applyAlignment="1">
      <alignment/>
    </xf>
    <xf numFmtId="3" fontId="0" fillId="0" borderId="0" xfId="0" applyNumberFormat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3" fontId="48" fillId="33" borderId="17" xfId="0" applyNumberFormat="1" applyFont="1" applyFill="1" applyBorder="1" applyAlignment="1">
      <alignment/>
    </xf>
    <xf numFmtId="0" fontId="3" fillId="33" borderId="67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 horizontal="right"/>
    </xf>
    <xf numFmtId="0" fontId="4" fillId="33" borderId="33" xfId="0" applyFont="1" applyFill="1" applyBorder="1" applyAlignment="1">
      <alignment/>
    </xf>
    <xf numFmtId="3" fontId="4" fillId="33" borderId="46" xfId="0" applyNumberFormat="1" applyFont="1" applyFill="1" applyBorder="1" applyAlignment="1">
      <alignment/>
    </xf>
    <xf numFmtId="3" fontId="0" fillId="33" borderId="12" xfId="0" applyNumberFormat="1" applyFill="1" applyBorder="1" applyAlignment="1">
      <alignment/>
    </xf>
    <xf numFmtId="3" fontId="3" fillId="33" borderId="20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center"/>
    </xf>
    <xf numFmtId="0" fontId="4" fillId="33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  <xf numFmtId="0" fontId="5" fillId="34" borderId="11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3" fontId="4" fillId="34" borderId="14" xfId="0" applyNumberFormat="1" applyFont="1" applyFill="1" applyBorder="1" applyAlignment="1">
      <alignment/>
    </xf>
    <xf numFmtId="3" fontId="4" fillId="34" borderId="15" xfId="0" applyNumberFormat="1" applyFont="1" applyFill="1" applyBorder="1" applyAlignment="1">
      <alignment/>
    </xf>
    <xf numFmtId="3" fontId="4" fillId="34" borderId="16" xfId="0" applyNumberFormat="1" applyFont="1" applyFill="1" applyBorder="1" applyAlignment="1">
      <alignment/>
    </xf>
    <xf numFmtId="3" fontId="4" fillId="34" borderId="25" xfId="0" applyNumberFormat="1" applyFont="1" applyFill="1" applyBorder="1" applyAlignment="1">
      <alignment/>
    </xf>
    <xf numFmtId="3" fontId="5" fillId="34" borderId="26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3" fontId="4" fillId="34" borderId="17" xfId="0" applyNumberFormat="1" applyFont="1" applyFill="1" applyBorder="1" applyAlignment="1">
      <alignment/>
    </xf>
    <xf numFmtId="3" fontId="4" fillId="34" borderId="57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56" xfId="0" applyFont="1" applyFill="1" applyBorder="1" applyAlignment="1">
      <alignment/>
    </xf>
    <xf numFmtId="0" fontId="4" fillId="34" borderId="0" xfId="0" applyFont="1" applyFill="1" applyAlignment="1">
      <alignment/>
    </xf>
    <xf numFmtId="3" fontId="4" fillId="34" borderId="0" xfId="0" applyNumberFormat="1" applyFont="1" applyFill="1" applyBorder="1" applyAlignment="1">
      <alignment horizontal="right"/>
    </xf>
    <xf numFmtId="3" fontId="4" fillId="34" borderId="17" xfId="0" applyNumberFormat="1" applyFont="1" applyFill="1" applyBorder="1" applyAlignment="1">
      <alignment horizontal="right"/>
    </xf>
    <xf numFmtId="0" fontId="4" fillId="34" borderId="17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3" fontId="4" fillId="34" borderId="13" xfId="0" applyNumberFormat="1" applyFont="1" applyFill="1" applyBorder="1" applyAlignment="1">
      <alignment/>
    </xf>
    <xf numFmtId="3" fontId="4" fillId="34" borderId="56" xfId="0" applyNumberFormat="1" applyFont="1" applyFill="1" applyBorder="1" applyAlignment="1">
      <alignment/>
    </xf>
    <xf numFmtId="3" fontId="3" fillId="34" borderId="14" xfId="0" applyNumberFormat="1" applyFont="1" applyFill="1" applyBorder="1" applyAlignment="1">
      <alignment horizontal="right"/>
    </xf>
    <xf numFmtId="3" fontId="3" fillId="34" borderId="15" xfId="0" applyNumberFormat="1" applyFont="1" applyFill="1" applyBorder="1" applyAlignment="1">
      <alignment horizontal="right"/>
    </xf>
    <xf numFmtId="3" fontId="3" fillId="34" borderId="16" xfId="0" applyNumberFormat="1" applyFont="1" applyFill="1" applyBorder="1" applyAlignment="1">
      <alignment horizontal="right"/>
    </xf>
    <xf numFmtId="3" fontId="3" fillId="34" borderId="25" xfId="0" applyNumberFormat="1" applyFont="1" applyFill="1" applyBorder="1" applyAlignment="1">
      <alignment horizontal="right"/>
    </xf>
    <xf numFmtId="3" fontId="3" fillId="34" borderId="26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 horizontal="right"/>
    </xf>
    <xf numFmtId="3" fontId="3" fillId="34" borderId="17" xfId="0" applyNumberFormat="1" applyFont="1" applyFill="1" applyBorder="1" applyAlignment="1">
      <alignment horizontal="right"/>
    </xf>
    <xf numFmtId="3" fontId="5" fillId="34" borderId="14" xfId="0" applyNumberFormat="1" applyFont="1" applyFill="1" applyBorder="1" applyAlignment="1">
      <alignment horizontal="right"/>
    </xf>
    <xf numFmtId="3" fontId="5" fillId="34" borderId="15" xfId="0" applyNumberFormat="1" applyFont="1" applyFill="1" applyBorder="1" applyAlignment="1">
      <alignment horizontal="right"/>
    </xf>
    <xf numFmtId="3" fontId="5" fillId="34" borderId="16" xfId="0" applyNumberFormat="1" applyFont="1" applyFill="1" applyBorder="1" applyAlignment="1">
      <alignment horizontal="right"/>
    </xf>
    <xf numFmtId="3" fontId="5" fillId="34" borderId="25" xfId="0" applyNumberFormat="1" applyFont="1" applyFill="1" applyBorder="1" applyAlignment="1">
      <alignment horizontal="right"/>
    </xf>
    <xf numFmtId="3" fontId="5" fillId="34" borderId="0" xfId="0" applyNumberFormat="1" applyFont="1" applyFill="1" applyBorder="1" applyAlignment="1">
      <alignment horizontal="right"/>
    </xf>
    <xf numFmtId="3" fontId="5" fillId="34" borderId="17" xfId="0" applyNumberFormat="1" applyFont="1" applyFill="1" applyBorder="1" applyAlignment="1">
      <alignment horizontal="right"/>
    </xf>
    <xf numFmtId="3" fontId="5" fillId="34" borderId="57" xfId="0" applyNumberFormat="1" applyFont="1" applyFill="1" applyBorder="1" applyAlignment="1">
      <alignment horizontal="right"/>
    </xf>
    <xf numFmtId="3" fontId="5" fillId="34" borderId="14" xfId="0" applyNumberFormat="1" applyFont="1" applyFill="1" applyBorder="1" applyAlignment="1">
      <alignment/>
    </xf>
    <xf numFmtId="3" fontId="5" fillId="34" borderId="15" xfId="0" applyNumberFormat="1" applyFont="1" applyFill="1" applyBorder="1" applyAlignment="1">
      <alignment/>
    </xf>
    <xf numFmtId="3" fontId="5" fillId="34" borderId="16" xfId="0" applyNumberFormat="1" applyFont="1" applyFill="1" applyBorder="1" applyAlignment="1">
      <alignment/>
    </xf>
    <xf numFmtId="3" fontId="5" fillId="34" borderId="25" xfId="0" applyNumberFormat="1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3" fontId="5" fillId="34" borderId="17" xfId="0" applyNumberFormat="1" applyFont="1" applyFill="1" applyBorder="1" applyAlignment="1">
      <alignment/>
    </xf>
    <xf numFmtId="3" fontId="11" fillId="34" borderId="13" xfId="0" applyNumberFormat="1" applyFont="1" applyFill="1" applyBorder="1" applyAlignment="1">
      <alignment/>
    </xf>
    <xf numFmtId="3" fontId="3" fillId="34" borderId="57" xfId="0" applyNumberFormat="1" applyFont="1" applyFill="1" applyBorder="1" applyAlignment="1">
      <alignment horizontal="right"/>
    </xf>
    <xf numFmtId="3" fontId="4" fillId="34" borderId="54" xfId="0" applyNumberFormat="1" applyFont="1" applyFill="1" applyBorder="1" applyAlignment="1">
      <alignment/>
    </xf>
    <xf numFmtId="0" fontId="4" fillId="34" borderId="54" xfId="0" applyFont="1" applyFill="1" applyBorder="1" applyAlignment="1">
      <alignment/>
    </xf>
    <xf numFmtId="0" fontId="4" fillId="34" borderId="34" xfId="0" applyFont="1" applyFill="1" applyBorder="1" applyAlignment="1">
      <alignment/>
    </xf>
    <xf numFmtId="0" fontId="5" fillId="34" borderId="68" xfId="0" applyFont="1" applyFill="1" applyBorder="1" applyAlignment="1">
      <alignment horizontal="right"/>
    </xf>
    <xf numFmtId="0" fontId="5" fillId="34" borderId="66" xfId="0" applyFont="1" applyFill="1" applyBorder="1" applyAlignment="1">
      <alignment horizontal="center"/>
    </xf>
    <xf numFmtId="0" fontId="5" fillId="34" borderId="69" xfId="0" applyFont="1" applyFill="1" applyBorder="1" applyAlignment="1">
      <alignment horizontal="left"/>
    </xf>
    <xf numFmtId="0" fontId="5" fillId="34" borderId="70" xfId="0" applyFont="1" applyFill="1" applyBorder="1" applyAlignment="1">
      <alignment horizontal="left"/>
    </xf>
    <xf numFmtId="3" fontId="5" fillId="34" borderId="71" xfId="0" applyNumberFormat="1" applyFont="1" applyFill="1" applyBorder="1" applyAlignment="1">
      <alignment horizontal="right"/>
    </xf>
    <xf numFmtId="3" fontId="5" fillId="34" borderId="72" xfId="0" applyNumberFormat="1" applyFont="1" applyFill="1" applyBorder="1" applyAlignment="1">
      <alignment horizontal="right"/>
    </xf>
    <xf numFmtId="3" fontId="4" fillId="34" borderId="73" xfId="0" applyNumberFormat="1" applyFont="1" applyFill="1" applyBorder="1" applyAlignment="1">
      <alignment/>
    </xf>
    <xf numFmtId="3" fontId="5" fillId="34" borderId="74" xfId="0" applyNumberFormat="1" applyFont="1" applyFill="1" applyBorder="1" applyAlignment="1">
      <alignment horizontal="right"/>
    </xf>
    <xf numFmtId="3" fontId="5" fillId="34" borderId="75" xfId="0" applyNumberFormat="1" applyFont="1" applyFill="1" applyBorder="1" applyAlignment="1">
      <alignment/>
    </xf>
    <xf numFmtId="3" fontId="5" fillId="34" borderId="66" xfId="0" applyNumberFormat="1" applyFont="1" applyFill="1" applyBorder="1" applyAlignment="1">
      <alignment horizontal="right"/>
    </xf>
    <xf numFmtId="3" fontId="5" fillId="34" borderId="76" xfId="0" applyNumberFormat="1" applyFont="1" applyFill="1" applyBorder="1" applyAlignment="1">
      <alignment horizontal="right"/>
    </xf>
    <xf numFmtId="3" fontId="4" fillId="34" borderId="77" xfId="0" applyNumberFormat="1" applyFont="1" applyFill="1" applyBorder="1" applyAlignment="1">
      <alignment/>
    </xf>
    <xf numFmtId="0" fontId="4" fillId="34" borderId="69" xfId="0" applyFont="1" applyFill="1" applyBorder="1" applyAlignment="1">
      <alignment/>
    </xf>
    <xf numFmtId="0" fontId="4" fillId="34" borderId="70" xfId="0" applyFont="1" applyFill="1" applyBorder="1" applyAlignment="1">
      <alignment/>
    </xf>
    <xf numFmtId="0" fontId="4" fillId="34" borderId="78" xfId="0" applyFont="1" applyFill="1" applyBorder="1" applyAlignment="1">
      <alignment/>
    </xf>
    <xf numFmtId="0" fontId="5" fillId="34" borderId="31" xfId="0" applyFont="1" applyFill="1" applyBorder="1" applyAlignment="1">
      <alignment horizontal="right"/>
    </xf>
    <xf numFmtId="0" fontId="5" fillId="34" borderId="32" xfId="0" applyFont="1" applyFill="1" applyBorder="1" applyAlignment="1">
      <alignment horizontal="center"/>
    </xf>
    <xf numFmtId="0" fontId="5" fillId="34" borderId="33" xfId="0" applyFont="1" applyFill="1" applyBorder="1" applyAlignment="1">
      <alignment horizontal="left"/>
    </xf>
    <xf numFmtId="0" fontId="5" fillId="34" borderId="34" xfId="0" applyFont="1" applyFill="1" applyBorder="1" applyAlignment="1">
      <alignment horizontal="left"/>
    </xf>
    <xf numFmtId="3" fontId="5" fillId="34" borderId="35" xfId="0" applyNumberFormat="1" applyFont="1" applyFill="1" applyBorder="1" applyAlignment="1">
      <alignment horizontal="right"/>
    </xf>
    <xf numFmtId="3" fontId="5" fillId="34" borderId="36" xfId="0" applyNumberFormat="1" applyFont="1" applyFill="1" applyBorder="1" applyAlignment="1">
      <alignment horizontal="right"/>
    </xf>
    <xf numFmtId="3" fontId="4" fillId="34" borderId="37" xfId="0" applyNumberFormat="1" applyFont="1" applyFill="1" applyBorder="1" applyAlignment="1">
      <alignment/>
    </xf>
    <xf numFmtId="3" fontId="5" fillId="34" borderId="38" xfId="0" applyNumberFormat="1" applyFont="1" applyFill="1" applyBorder="1" applyAlignment="1">
      <alignment horizontal="right"/>
    </xf>
    <xf numFmtId="3" fontId="5" fillId="34" borderId="39" xfId="0" applyNumberFormat="1" applyFont="1" applyFill="1" applyBorder="1" applyAlignment="1">
      <alignment/>
    </xf>
    <xf numFmtId="3" fontId="5" fillId="34" borderId="32" xfId="0" applyNumberFormat="1" applyFont="1" applyFill="1" applyBorder="1" applyAlignment="1">
      <alignment horizontal="right"/>
    </xf>
    <xf numFmtId="3" fontId="5" fillId="34" borderId="54" xfId="0" applyNumberFormat="1" applyFont="1" applyFill="1" applyBorder="1" applyAlignment="1">
      <alignment horizontal="right"/>
    </xf>
    <xf numFmtId="3" fontId="4" fillId="34" borderId="65" xfId="0" applyNumberFormat="1" applyFont="1" applyFill="1" applyBorder="1" applyAlignment="1">
      <alignment/>
    </xf>
    <xf numFmtId="0" fontId="4" fillId="34" borderId="33" xfId="0" applyFont="1" applyFill="1" applyBorder="1" applyAlignment="1">
      <alignment/>
    </xf>
    <xf numFmtId="3" fontId="4" fillId="34" borderId="34" xfId="0" applyNumberFormat="1" applyFont="1" applyFill="1" applyBorder="1" applyAlignment="1">
      <alignment/>
    </xf>
    <xf numFmtId="0" fontId="4" fillId="34" borderId="63" xfId="0" applyFont="1" applyFill="1" applyBorder="1" applyAlignment="1">
      <alignment/>
    </xf>
    <xf numFmtId="3" fontId="3" fillId="34" borderId="12" xfId="0" applyNumberFormat="1" applyFont="1" applyFill="1" applyBorder="1" applyAlignment="1">
      <alignment horizontal="right"/>
    </xf>
    <xf numFmtId="3" fontId="5" fillId="34" borderId="13" xfId="0" applyNumberFormat="1" applyFont="1" applyFill="1" applyBorder="1" applyAlignment="1">
      <alignment horizontal="right"/>
    </xf>
    <xf numFmtId="3" fontId="3" fillId="34" borderId="56" xfId="0" applyNumberFormat="1" applyFont="1" applyFill="1" applyBorder="1" applyAlignment="1">
      <alignment horizontal="right"/>
    </xf>
    <xf numFmtId="0" fontId="5" fillId="34" borderId="11" xfId="0" applyFont="1" applyFill="1" applyBorder="1" applyAlignment="1">
      <alignment horizontal="left"/>
    </xf>
    <xf numFmtId="3" fontId="5" fillId="34" borderId="12" xfId="0" applyNumberFormat="1" applyFont="1" applyFill="1" applyBorder="1" applyAlignment="1">
      <alignment horizontal="right"/>
    </xf>
    <xf numFmtId="49" fontId="4" fillId="34" borderId="13" xfId="0" applyNumberFormat="1" applyFont="1" applyFill="1" applyBorder="1" applyAlignment="1">
      <alignment/>
    </xf>
    <xf numFmtId="0" fontId="3" fillId="0" borderId="79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67" xfId="0" applyFont="1" applyFill="1" applyBorder="1" applyAlignment="1">
      <alignment horizontal="center" wrapText="1"/>
    </xf>
  </cellXfs>
  <cellStyles count="61">
    <cellStyle name="Normal" xfId="0"/>
    <cellStyle name="20 % - Akzent1" xfId="15"/>
    <cellStyle name="20 % - Akzent1 2" xfId="16"/>
    <cellStyle name="20 % - Akzent2" xfId="17"/>
    <cellStyle name="20 % - Akzent2 2" xfId="18"/>
    <cellStyle name="20 % - Akzent3" xfId="19"/>
    <cellStyle name="20 % - Akzent3 2" xfId="20"/>
    <cellStyle name="20 % - Akzent4" xfId="21"/>
    <cellStyle name="20 % - Akzent4 2" xfId="22"/>
    <cellStyle name="20 % - Akzent5" xfId="23"/>
    <cellStyle name="20 % - Akzent5 2" xfId="24"/>
    <cellStyle name="20 % - Akzent6" xfId="25"/>
    <cellStyle name="20 % - Akzent6 2" xfId="26"/>
    <cellStyle name="40 % - Akzent1" xfId="27"/>
    <cellStyle name="40 % - Akzent1 2" xfId="28"/>
    <cellStyle name="40 % - Akzent2" xfId="29"/>
    <cellStyle name="40 % - Akzent2 2" xfId="30"/>
    <cellStyle name="40 % - Akzent3" xfId="31"/>
    <cellStyle name="40 % - Akzent3 2" xfId="32"/>
    <cellStyle name="40 % - Akzent4" xfId="33"/>
    <cellStyle name="40 % - Akzent4 2" xfId="34"/>
    <cellStyle name="40 % - Akzent5" xfId="35"/>
    <cellStyle name="40 % - Akzent5 2" xfId="36"/>
    <cellStyle name="40 % - Akzent6" xfId="37"/>
    <cellStyle name="40 % - Akzent6 2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Akzent1" xfId="45"/>
    <cellStyle name="Akzent2" xfId="46"/>
    <cellStyle name="Akzent3" xfId="47"/>
    <cellStyle name="Akzent4" xfId="48"/>
    <cellStyle name="Akzent5" xfId="49"/>
    <cellStyle name="Akzent6" xfId="50"/>
    <cellStyle name="Ausgabe" xfId="51"/>
    <cellStyle name="Berechnung" xfId="52"/>
    <cellStyle name="Comma [0]" xfId="53"/>
    <cellStyle name="Eingabe" xfId="54"/>
    <cellStyle name="Ergebnis" xfId="55"/>
    <cellStyle name="Erklärender Text" xfId="56"/>
    <cellStyle name="Gut" xfId="57"/>
    <cellStyle name="Comma" xfId="58"/>
    <cellStyle name="Neutral" xfId="59"/>
    <cellStyle name="Normal_Sheet1" xfId="60"/>
    <cellStyle name="Notiz" xfId="61"/>
    <cellStyle name="Notiz 2" xfId="62"/>
    <cellStyle name="Percent" xfId="63"/>
    <cellStyle name="Schlecht" xfId="64"/>
    <cellStyle name="Überschrift" xfId="65"/>
    <cellStyle name="Überschrift 1" xfId="66"/>
    <cellStyle name="Überschrift 2" xfId="67"/>
    <cellStyle name="Überschrift 3" xfId="68"/>
    <cellStyle name="Überschrift 4" xfId="69"/>
    <cellStyle name="Verknüpfte Zelle" xfId="70"/>
    <cellStyle name="Currency" xfId="71"/>
    <cellStyle name="Currency [0]" xfId="72"/>
    <cellStyle name="Warnender Text" xfId="73"/>
    <cellStyle name="Zelle überprüfen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9715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71</xdr:row>
      <xdr:rowOff>142875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10887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3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9715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4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9715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64</xdr:row>
      <xdr:rowOff>0</xdr:rowOff>
    </xdr:from>
    <xdr:to>
      <xdr:col>19</xdr:col>
      <xdr:colOff>190500</xdr:colOff>
      <xdr:row>65</xdr:row>
      <xdr:rowOff>0</xdr:rowOff>
    </xdr:to>
    <xdr:pic>
      <xdr:nvPicPr>
        <xdr:cNvPr id="5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9715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71</xdr:row>
      <xdr:rowOff>142875</xdr:rowOff>
    </xdr:to>
    <xdr:pic>
      <xdr:nvPicPr>
        <xdr:cNvPr id="6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10887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142875</xdr:rowOff>
    </xdr:to>
    <xdr:pic>
      <xdr:nvPicPr>
        <xdr:cNvPr id="7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10887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71</xdr:row>
      <xdr:rowOff>0</xdr:rowOff>
    </xdr:from>
    <xdr:to>
      <xdr:col>19</xdr:col>
      <xdr:colOff>190500</xdr:colOff>
      <xdr:row>71</xdr:row>
      <xdr:rowOff>142875</xdr:rowOff>
    </xdr:to>
    <xdr:pic>
      <xdr:nvPicPr>
        <xdr:cNvPr id="8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10887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15</xdr:col>
      <xdr:colOff>190500</xdr:colOff>
      <xdr:row>71</xdr:row>
      <xdr:rowOff>142875</xdr:rowOff>
    </xdr:to>
    <xdr:pic>
      <xdr:nvPicPr>
        <xdr:cNvPr id="9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10887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71</xdr:row>
      <xdr:rowOff>142875</xdr:rowOff>
    </xdr:to>
    <xdr:pic>
      <xdr:nvPicPr>
        <xdr:cNvPr id="10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10887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65</xdr:row>
      <xdr:rowOff>0</xdr:rowOff>
    </xdr:to>
    <xdr:pic>
      <xdr:nvPicPr>
        <xdr:cNvPr id="1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9715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142875</xdr:rowOff>
    </xdr:to>
    <xdr:pic>
      <xdr:nvPicPr>
        <xdr:cNvPr id="12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10887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65</xdr:row>
      <xdr:rowOff>0</xdr:rowOff>
    </xdr:to>
    <xdr:pic>
      <xdr:nvPicPr>
        <xdr:cNvPr id="13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9715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142875</xdr:rowOff>
    </xdr:to>
    <xdr:pic>
      <xdr:nvPicPr>
        <xdr:cNvPr id="14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10887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5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9715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71</xdr:row>
      <xdr:rowOff>142875</xdr:rowOff>
    </xdr:to>
    <xdr:pic>
      <xdr:nvPicPr>
        <xdr:cNvPr id="16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0887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2"/>
  <sheetViews>
    <sheetView tabSelected="1" zoomScale="115" zoomScaleNormal="115" zoomScalePageLayoutView="0" workbookViewId="0" topLeftCell="A1">
      <pane ySplit="3" topLeftCell="A133" activePane="bottomLeft" state="frozen"/>
      <selection pane="topLeft" activeCell="A1" sqref="A1"/>
      <selection pane="bottomLeft" activeCell="D163" sqref="D163"/>
    </sheetView>
  </sheetViews>
  <sheetFormatPr defaultColWidth="11.421875" defaultRowHeight="12.75"/>
  <cols>
    <col min="1" max="1" width="4.7109375" style="3" customWidth="1"/>
    <col min="2" max="2" width="2.57421875" style="2" customWidth="1"/>
    <col min="3" max="3" width="4.8515625" style="3" customWidth="1"/>
    <col min="4" max="4" width="58.140625" style="3" customWidth="1"/>
    <col min="5" max="6" width="12.8515625" style="3" hidden="1" customWidth="1"/>
    <col min="7" max="9" width="11.140625" style="3" hidden="1" customWidth="1"/>
    <col min="10" max="10" width="11.57421875" style="75" hidden="1" customWidth="1"/>
    <col min="11" max="11" width="12.00390625" style="3" hidden="1" customWidth="1"/>
    <col min="12" max="12" width="9.421875" style="119" hidden="1" customWidth="1"/>
    <col min="13" max="15" width="11.28125" style="119" hidden="1" customWidth="1"/>
    <col min="16" max="16" width="11.7109375" style="119" customWidth="1"/>
    <col min="17" max="17" width="12.57421875" style="169" customWidth="1"/>
    <col min="18" max="18" width="12.421875" style="169" customWidth="1"/>
    <col min="19" max="21" width="11.140625" style="3" customWidth="1"/>
    <col min="22" max="22" width="8.140625" style="3" hidden="1" customWidth="1"/>
    <col min="23" max="23" width="10.00390625" style="3" hidden="1" customWidth="1"/>
    <col min="24" max="24" width="8.7109375" style="3" hidden="1" customWidth="1"/>
    <col min="25" max="25" width="0" style="3" hidden="1" customWidth="1"/>
    <col min="26" max="16384" width="11.421875" style="3" customWidth="1"/>
  </cols>
  <sheetData>
    <row r="1" spans="17:22" ht="12.75">
      <c r="Q1" s="175" t="s">
        <v>217</v>
      </c>
      <c r="R1" s="172" t="s">
        <v>191</v>
      </c>
      <c r="S1" s="110">
        <v>-805600</v>
      </c>
      <c r="T1" s="110">
        <v>-174400</v>
      </c>
      <c r="U1" s="3">
        <v>0</v>
      </c>
      <c r="V1" s="3" t="s">
        <v>211</v>
      </c>
    </row>
    <row r="2" spans="1:25" ht="16.5" thickBot="1">
      <c r="A2" s="1" t="s">
        <v>185</v>
      </c>
      <c r="E2" s="4" t="e">
        <f aca="true" t="shared" si="0" ref="E2:K2">E205-E206</f>
        <v>#REF!</v>
      </c>
      <c r="F2" s="4" t="e">
        <f t="shared" si="0"/>
        <v>#REF!</v>
      </c>
      <c r="G2" s="4" t="e">
        <f t="shared" si="0"/>
        <v>#REF!</v>
      </c>
      <c r="H2" s="4" t="e">
        <f t="shared" si="0"/>
        <v>#REF!</v>
      </c>
      <c r="I2" s="4" t="e">
        <f t="shared" si="0"/>
        <v>#REF!</v>
      </c>
      <c r="J2" s="4" t="e">
        <f t="shared" si="0"/>
        <v>#REF!</v>
      </c>
      <c r="K2" s="4">
        <f t="shared" si="0"/>
        <v>-1533500</v>
      </c>
      <c r="L2" s="110">
        <f>L206</f>
        <v>581600</v>
      </c>
      <c r="M2" s="110">
        <f>M205-M206</f>
        <v>-951900</v>
      </c>
      <c r="N2" s="124">
        <f>N208*-1</f>
        <v>-185000</v>
      </c>
      <c r="O2" s="110"/>
      <c r="P2" s="110">
        <f aca="true" t="shared" si="1" ref="P2:U2">P205-P206</f>
        <v>-766900</v>
      </c>
      <c r="Q2" s="159">
        <f t="shared" si="1"/>
        <v>-672600</v>
      </c>
      <c r="R2" s="159">
        <f t="shared" si="1"/>
        <v>-1669900</v>
      </c>
      <c r="S2" s="110">
        <f t="shared" si="1"/>
        <v>-989500</v>
      </c>
      <c r="T2" s="110">
        <f t="shared" si="1"/>
        <v>-870400</v>
      </c>
      <c r="U2" s="110">
        <f t="shared" si="1"/>
        <v>-741800</v>
      </c>
      <c r="V2" s="174" t="s">
        <v>212</v>
      </c>
      <c r="W2" s="3" t="s">
        <v>213</v>
      </c>
      <c r="X2" s="3" t="s">
        <v>214</v>
      </c>
      <c r="Y2" s="3" t="s">
        <v>215</v>
      </c>
    </row>
    <row r="3" spans="1:21" s="7" customFormat="1" ht="35.25" customHeight="1" thickBot="1">
      <c r="A3" s="259" t="s">
        <v>0</v>
      </c>
      <c r="B3" s="260"/>
      <c r="C3" s="261"/>
      <c r="D3" s="6" t="s">
        <v>1</v>
      </c>
      <c r="E3" s="94" t="s">
        <v>2</v>
      </c>
      <c r="F3" s="95" t="s">
        <v>3</v>
      </c>
      <c r="G3" s="68" t="s">
        <v>4</v>
      </c>
      <c r="H3" s="96" t="s">
        <v>135</v>
      </c>
      <c r="I3" s="97" t="s">
        <v>136</v>
      </c>
      <c r="J3" s="98" t="s">
        <v>151</v>
      </c>
      <c r="K3" s="69" t="s">
        <v>155</v>
      </c>
      <c r="L3" s="111" t="s">
        <v>159</v>
      </c>
      <c r="M3" s="121" t="s">
        <v>156</v>
      </c>
      <c r="N3" s="121" t="s">
        <v>161</v>
      </c>
      <c r="O3" s="121" t="s">
        <v>216</v>
      </c>
      <c r="P3" s="150" t="s">
        <v>184</v>
      </c>
      <c r="Q3" s="160" t="s">
        <v>168</v>
      </c>
      <c r="R3" s="160" t="s">
        <v>186</v>
      </c>
      <c r="S3" s="142" t="s">
        <v>169</v>
      </c>
      <c r="T3" s="139" t="s">
        <v>170</v>
      </c>
      <c r="U3" s="139" t="s">
        <v>177</v>
      </c>
    </row>
    <row r="4" spans="1:21" s="7" customFormat="1" ht="3" customHeight="1">
      <c r="A4" s="8"/>
      <c r="B4" s="9"/>
      <c r="C4" s="10"/>
      <c r="D4" s="11"/>
      <c r="E4" s="12"/>
      <c r="F4" s="13"/>
      <c r="G4" s="57"/>
      <c r="H4" s="61"/>
      <c r="I4" s="17"/>
      <c r="J4" s="70"/>
      <c r="K4" s="14"/>
      <c r="L4" s="24"/>
      <c r="M4" s="24"/>
      <c r="N4" s="118"/>
      <c r="O4" s="118"/>
      <c r="P4" s="134"/>
      <c r="Q4" s="161"/>
      <c r="R4" s="161"/>
      <c r="S4" s="143"/>
      <c r="T4" s="131"/>
      <c r="U4" s="131"/>
    </row>
    <row r="5" spans="1:21" s="7" customFormat="1" ht="13.5" customHeight="1">
      <c r="A5" s="99" t="s">
        <v>5</v>
      </c>
      <c r="B5" s="9"/>
      <c r="C5" s="10"/>
      <c r="D5" s="15" t="s">
        <v>6</v>
      </c>
      <c r="E5" s="12"/>
      <c r="F5" s="13"/>
      <c r="G5" s="57"/>
      <c r="H5" s="61"/>
      <c r="I5" s="17"/>
      <c r="J5" s="70"/>
      <c r="K5" s="14"/>
      <c r="L5" s="24"/>
      <c r="M5" s="24"/>
      <c r="N5" s="118"/>
      <c r="O5" s="118"/>
      <c r="P5" s="134"/>
      <c r="Q5" s="161"/>
      <c r="R5" s="161"/>
      <c r="S5" s="143"/>
      <c r="T5" s="131"/>
      <c r="U5" s="131"/>
    </row>
    <row r="6" spans="1:21" s="7" customFormat="1" ht="11.25">
      <c r="A6" s="8" t="s">
        <v>7</v>
      </c>
      <c r="B6" s="9"/>
      <c r="C6" s="10" t="s">
        <v>8</v>
      </c>
      <c r="D6" s="11" t="s">
        <v>9</v>
      </c>
      <c r="E6" s="16">
        <v>2000</v>
      </c>
      <c r="F6" s="17"/>
      <c r="G6" s="23">
        <f>SUM(E6:F6)</f>
        <v>2000</v>
      </c>
      <c r="H6" s="61">
        <v>4800</v>
      </c>
      <c r="I6" s="17"/>
      <c r="J6" s="70">
        <f>SUM(H6:I6)</f>
        <v>4800</v>
      </c>
      <c r="K6" s="14">
        <v>3000</v>
      </c>
      <c r="L6" s="24"/>
      <c r="M6" s="24">
        <f>K6</f>
        <v>3000</v>
      </c>
      <c r="N6" s="118"/>
      <c r="O6" s="118"/>
      <c r="P6" s="134">
        <f aca="true" t="shared" si="2" ref="P6:P13">M6+N6</f>
        <v>3000</v>
      </c>
      <c r="Q6" s="162">
        <v>2500</v>
      </c>
      <c r="R6" s="149">
        <v>10000</v>
      </c>
      <c r="S6" s="162">
        <v>5000</v>
      </c>
      <c r="T6" s="162">
        <v>5000</v>
      </c>
      <c r="U6" s="162">
        <v>5000</v>
      </c>
    </row>
    <row r="7" spans="1:21" s="7" customFormat="1" ht="11.25">
      <c r="A7" s="8" t="s">
        <v>7</v>
      </c>
      <c r="B7" s="9"/>
      <c r="C7" s="10" t="s">
        <v>10</v>
      </c>
      <c r="D7" s="11" t="s">
        <v>11</v>
      </c>
      <c r="E7" s="16">
        <v>5000</v>
      </c>
      <c r="F7" s="17">
        <v>6000</v>
      </c>
      <c r="G7" s="23">
        <f>SUM(E7:F7)</f>
        <v>11000</v>
      </c>
      <c r="H7" s="61">
        <v>13000</v>
      </c>
      <c r="I7" s="17"/>
      <c r="J7" s="70">
        <f>SUM(H7:I7)</f>
        <v>13000</v>
      </c>
      <c r="K7" s="14">
        <v>11000</v>
      </c>
      <c r="L7" s="24"/>
      <c r="M7" s="24">
        <f>K7</f>
        <v>11000</v>
      </c>
      <c r="N7" s="118"/>
      <c r="O7" s="118"/>
      <c r="P7" s="134">
        <f t="shared" si="2"/>
        <v>11000</v>
      </c>
      <c r="Q7" s="162">
        <v>11000</v>
      </c>
      <c r="R7" s="162">
        <v>11000</v>
      </c>
      <c r="S7" s="144">
        <v>11000</v>
      </c>
      <c r="T7" s="132">
        <v>11000</v>
      </c>
      <c r="U7" s="132">
        <v>0</v>
      </c>
    </row>
    <row r="8" spans="1:21" s="7" customFormat="1" ht="11.25">
      <c r="A8" s="8" t="s">
        <v>7</v>
      </c>
      <c r="B8" s="9" t="s">
        <v>27</v>
      </c>
      <c r="C8" s="10">
        <v>9350</v>
      </c>
      <c r="D8" s="11" t="s">
        <v>152</v>
      </c>
      <c r="E8" s="16"/>
      <c r="F8" s="17"/>
      <c r="G8" s="23"/>
      <c r="H8" s="61"/>
      <c r="I8" s="17"/>
      <c r="J8" s="70">
        <v>0</v>
      </c>
      <c r="K8" s="14">
        <v>50000</v>
      </c>
      <c r="L8" s="24">
        <v>50000</v>
      </c>
      <c r="M8" s="24">
        <v>0</v>
      </c>
      <c r="N8" s="118"/>
      <c r="O8" s="118"/>
      <c r="P8" s="134">
        <f t="shared" si="2"/>
        <v>0</v>
      </c>
      <c r="Q8" s="161"/>
      <c r="R8" s="161"/>
      <c r="S8" s="144">
        <v>50000</v>
      </c>
      <c r="T8" s="131"/>
      <c r="U8" s="131"/>
    </row>
    <row r="9" spans="1:21" s="191" customFormat="1" ht="11.25">
      <c r="A9" s="176" t="s">
        <v>7</v>
      </c>
      <c r="B9" s="177">
        <v>11</v>
      </c>
      <c r="C9" s="178">
        <v>9400</v>
      </c>
      <c r="D9" s="179" t="s">
        <v>150</v>
      </c>
      <c r="E9" s="180"/>
      <c r="F9" s="181"/>
      <c r="G9" s="182">
        <v>0</v>
      </c>
      <c r="H9" s="183">
        <v>0</v>
      </c>
      <c r="I9" s="181"/>
      <c r="J9" s="184">
        <f>SUM(H9:I9)</f>
        <v>0</v>
      </c>
      <c r="K9" s="185">
        <v>35000</v>
      </c>
      <c r="L9" s="186"/>
      <c r="M9" s="186">
        <f>K9</f>
        <v>35000</v>
      </c>
      <c r="N9" s="186">
        <v>-35000</v>
      </c>
      <c r="O9" s="186"/>
      <c r="P9" s="187">
        <f t="shared" si="2"/>
        <v>0</v>
      </c>
      <c r="Q9" s="188">
        <v>35000</v>
      </c>
      <c r="R9" s="188">
        <v>35000</v>
      </c>
      <c r="S9" s="189"/>
      <c r="T9" s="190"/>
      <c r="U9" s="190"/>
    </row>
    <row r="10" spans="1:21" s="191" customFormat="1" ht="11.25">
      <c r="A10" s="176" t="s">
        <v>7</v>
      </c>
      <c r="B10" s="177" t="s">
        <v>27</v>
      </c>
      <c r="C10" s="178">
        <v>9400</v>
      </c>
      <c r="D10" s="179" t="s">
        <v>194</v>
      </c>
      <c r="E10" s="180"/>
      <c r="F10" s="181"/>
      <c r="G10" s="182"/>
      <c r="H10" s="183"/>
      <c r="I10" s="181"/>
      <c r="J10" s="184"/>
      <c r="K10" s="185"/>
      <c r="L10" s="186"/>
      <c r="M10" s="186"/>
      <c r="N10" s="186"/>
      <c r="O10" s="186"/>
      <c r="P10" s="187"/>
      <c r="Q10" s="188"/>
      <c r="R10" s="188">
        <v>5000</v>
      </c>
      <c r="S10" s="188">
        <v>10000</v>
      </c>
      <c r="T10" s="188">
        <v>30000</v>
      </c>
      <c r="U10" s="190"/>
    </row>
    <row r="11" spans="1:21" s="7" customFormat="1" ht="11.25">
      <c r="A11" s="8" t="s">
        <v>7</v>
      </c>
      <c r="B11" s="9">
        <v>12</v>
      </c>
      <c r="C11" s="10">
        <v>9351</v>
      </c>
      <c r="D11" s="11" t="s">
        <v>187</v>
      </c>
      <c r="E11" s="16"/>
      <c r="F11" s="17"/>
      <c r="G11" s="23"/>
      <c r="H11" s="61"/>
      <c r="I11" s="17"/>
      <c r="J11" s="70"/>
      <c r="K11" s="14">
        <v>16500</v>
      </c>
      <c r="L11" s="24"/>
      <c r="M11" s="24">
        <f>K11</f>
        <v>16500</v>
      </c>
      <c r="N11" s="118"/>
      <c r="O11" s="118"/>
      <c r="P11" s="134">
        <f t="shared" si="2"/>
        <v>16500</v>
      </c>
      <c r="Q11" s="162"/>
      <c r="R11" s="149">
        <v>21000</v>
      </c>
      <c r="S11" s="143"/>
      <c r="T11" s="131"/>
      <c r="U11" s="131"/>
    </row>
    <row r="12" spans="1:21" s="7" customFormat="1" ht="11.25">
      <c r="A12" s="8" t="s">
        <v>7</v>
      </c>
      <c r="B12" s="9">
        <v>13</v>
      </c>
      <c r="C12" s="10">
        <v>9351</v>
      </c>
      <c r="D12" s="11" t="s">
        <v>146</v>
      </c>
      <c r="E12" s="16"/>
      <c r="F12" s="17"/>
      <c r="G12" s="23"/>
      <c r="H12" s="61"/>
      <c r="I12" s="17"/>
      <c r="J12" s="70"/>
      <c r="K12" s="14">
        <v>3400</v>
      </c>
      <c r="L12" s="24"/>
      <c r="M12" s="24">
        <f>K12</f>
        <v>3400</v>
      </c>
      <c r="N12" s="118"/>
      <c r="O12" s="118"/>
      <c r="P12" s="134">
        <f t="shared" si="2"/>
        <v>3400</v>
      </c>
      <c r="Q12" s="161"/>
      <c r="R12" s="161"/>
      <c r="S12" s="143">
        <v>700</v>
      </c>
      <c r="T12" s="131"/>
      <c r="U12" s="131"/>
    </row>
    <row r="13" spans="1:21" s="7" customFormat="1" ht="11.25">
      <c r="A13" s="8" t="s">
        <v>7</v>
      </c>
      <c r="B13" s="9">
        <v>14</v>
      </c>
      <c r="C13" s="10">
        <v>9351</v>
      </c>
      <c r="D13" s="11" t="s">
        <v>157</v>
      </c>
      <c r="E13" s="16">
        <v>10000</v>
      </c>
      <c r="F13" s="17"/>
      <c r="G13" s="23">
        <f>SUM(E13:F13)</f>
        <v>10000</v>
      </c>
      <c r="H13" s="61">
        <v>0</v>
      </c>
      <c r="I13" s="17"/>
      <c r="J13" s="70">
        <f>SUM(H13:I13)</f>
        <v>0</v>
      </c>
      <c r="K13" s="14">
        <v>0</v>
      </c>
      <c r="L13" s="24">
        <v>-2900</v>
      </c>
      <c r="M13" s="24">
        <v>2900</v>
      </c>
      <c r="N13" s="118"/>
      <c r="O13" s="118"/>
      <c r="P13" s="134">
        <f t="shared" si="2"/>
        <v>2900</v>
      </c>
      <c r="Q13" s="161"/>
      <c r="R13" s="161"/>
      <c r="S13" s="143"/>
      <c r="T13" s="131"/>
      <c r="U13" s="131"/>
    </row>
    <row r="14" spans="1:21" s="7" customFormat="1" ht="12.75" customHeight="1">
      <c r="A14" s="8"/>
      <c r="B14" s="9"/>
      <c r="C14" s="10"/>
      <c r="D14" s="18" t="s">
        <v>13</v>
      </c>
      <c r="E14" s="19">
        <f aca="true" t="shared" si="3" ref="E14:J14">SUM(0)</f>
        <v>0</v>
      </c>
      <c r="F14" s="20">
        <f t="shared" si="3"/>
        <v>0</v>
      </c>
      <c r="G14" s="58">
        <f t="shared" si="3"/>
        <v>0</v>
      </c>
      <c r="H14" s="62">
        <f t="shared" si="3"/>
        <v>0</v>
      </c>
      <c r="I14" s="20">
        <f t="shared" si="3"/>
        <v>0</v>
      </c>
      <c r="J14" s="63">
        <f t="shared" si="3"/>
        <v>0</v>
      </c>
      <c r="K14" s="21">
        <f>SUM(0)</f>
        <v>0</v>
      </c>
      <c r="L14" s="25"/>
      <c r="M14" s="25">
        <f aca="true" t="shared" si="4" ref="M14:U14">SUM(0)</f>
        <v>0</v>
      </c>
      <c r="N14" s="25">
        <f t="shared" si="4"/>
        <v>0</v>
      </c>
      <c r="O14" s="25"/>
      <c r="P14" s="133">
        <f t="shared" si="4"/>
        <v>0</v>
      </c>
      <c r="Q14" s="163">
        <f t="shared" si="4"/>
        <v>0</v>
      </c>
      <c r="R14" s="163">
        <f t="shared" si="4"/>
        <v>0</v>
      </c>
      <c r="S14" s="145">
        <f t="shared" si="4"/>
        <v>0</v>
      </c>
      <c r="T14" s="135">
        <f t="shared" si="4"/>
        <v>0</v>
      </c>
      <c r="U14" s="135">
        <f t="shared" si="4"/>
        <v>0</v>
      </c>
    </row>
    <row r="15" spans="1:21" s="7" customFormat="1" ht="12.75" customHeight="1">
      <c r="A15" s="8"/>
      <c r="B15" s="9"/>
      <c r="C15" s="10"/>
      <c r="D15" s="18" t="s">
        <v>14</v>
      </c>
      <c r="E15" s="19">
        <f>SUM(E6:E13)</f>
        <v>17000</v>
      </c>
      <c r="F15" s="20">
        <f>SUM(F6:F13)</f>
        <v>6000</v>
      </c>
      <c r="G15" s="58">
        <f>SUM(G6:G9)</f>
        <v>13000</v>
      </c>
      <c r="H15" s="62">
        <f>SUM(H6:H9)</f>
        <v>17800</v>
      </c>
      <c r="I15" s="20">
        <f>SUM(I6:I9)</f>
        <v>0</v>
      </c>
      <c r="J15" s="63">
        <f>SUM(J6:J9)</f>
        <v>17800</v>
      </c>
      <c r="K15" s="21">
        <f>SUM(K6:K13)</f>
        <v>118900</v>
      </c>
      <c r="L15" s="25"/>
      <c r="M15" s="25">
        <f aca="true" t="shared" si="5" ref="M15:T15">SUM(M6:M13)</f>
        <v>71800</v>
      </c>
      <c r="N15" s="25">
        <f t="shared" si="5"/>
        <v>-35000</v>
      </c>
      <c r="O15" s="25"/>
      <c r="P15" s="133">
        <f t="shared" si="5"/>
        <v>36800</v>
      </c>
      <c r="Q15" s="163">
        <f t="shared" si="5"/>
        <v>48500</v>
      </c>
      <c r="R15" s="163">
        <f>SUM(R6:R13)</f>
        <v>82000</v>
      </c>
      <c r="S15" s="145">
        <f t="shared" si="5"/>
        <v>76700</v>
      </c>
      <c r="T15" s="135">
        <f t="shared" si="5"/>
        <v>46000</v>
      </c>
      <c r="U15" s="135">
        <f>SUM(U6:U13)</f>
        <v>5000</v>
      </c>
    </row>
    <row r="16" spans="1:21" s="7" customFormat="1" ht="12.75" customHeight="1">
      <c r="A16" s="8"/>
      <c r="B16" s="9"/>
      <c r="C16" s="10"/>
      <c r="D16" s="18" t="s">
        <v>15</v>
      </c>
      <c r="E16" s="19">
        <f aca="true" t="shared" si="6" ref="E16:T16">E14-E15</f>
        <v>-17000</v>
      </c>
      <c r="F16" s="20">
        <f t="shared" si="6"/>
        <v>-6000</v>
      </c>
      <c r="G16" s="58">
        <f t="shared" si="6"/>
        <v>-13000</v>
      </c>
      <c r="H16" s="62">
        <f t="shared" si="6"/>
        <v>-17800</v>
      </c>
      <c r="I16" s="20">
        <f t="shared" si="6"/>
        <v>0</v>
      </c>
      <c r="J16" s="63">
        <f t="shared" si="6"/>
        <v>-17800</v>
      </c>
      <c r="K16" s="21">
        <f t="shared" si="6"/>
        <v>-118900</v>
      </c>
      <c r="L16" s="25"/>
      <c r="M16" s="25">
        <f t="shared" si="6"/>
        <v>-71800</v>
      </c>
      <c r="N16" s="25">
        <f t="shared" si="6"/>
        <v>35000</v>
      </c>
      <c r="O16" s="25"/>
      <c r="P16" s="133">
        <f t="shared" si="6"/>
        <v>-36800</v>
      </c>
      <c r="Q16" s="163">
        <f t="shared" si="6"/>
        <v>-48500</v>
      </c>
      <c r="R16" s="163">
        <f>R14-R15</f>
        <v>-82000</v>
      </c>
      <c r="S16" s="145">
        <f t="shared" si="6"/>
        <v>-76700</v>
      </c>
      <c r="T16" s="135">
        <f t="shared" si="6"/>
        <v>-46000</v>
      </c>
      <c r="U16" s="135">
        <f>U14-U15</f>
        <v>-5000</v>
      </c>
    </row>
    <row r="17" spans="1:21" s="7" customFormat="1" ht="13.5" customHeight="1">
      <c r="A17" s="99" t="s">
        <v>16</v>
      </c>
      <c r="B17" s="9"/>
      <c r="C17" s="10"/>
      <c r="D17" s="15" t="s">
        <v>17</v>
      </c>
      <c r="E17" s="19"/>
      <c r="F17" s="20"/>
      <c r="G17" s="58"/>
      <c r="H17" s="62"/>
      <c r="I17" s="20"/>
      <c r="J17" s="63"/>
      <c r="K17" s="21"/>
      <c r="L17" s="25"/>
      <c r="M17" s="24"/>
      <c r="N17" s="118"/>
      <c r="O17" s="118"/>
      <c r="P17" s="133"/>
      <c r="Q17" s="162"/>
      <c r="R17" s="162"/>
      <c r="S17" s="144"/>
      <c r="T17" s="132"/>
      <c r="U17" s="132"/>
    </row>
    <row r="18" spans="1:21" s="7" customFormat="1" ht="13.5" customHeight="1">
      <c r="A18" s="8" t="s">
        <v>18</v>
      </c>
      <c r="B18" s="9"/>
      <c r="C18" s="10">
        <v>3621</v>
      </c>
      <c r="D18" s="11" t="s">
        <v>188</v>
      </c>
      <c r="E18" s="19"/>
      <c r="F18" s="20"/>
      <c r="G18" s="58"/>
      <c r="H18" s="62"/>
      <c r="I18" s="20"/>
      <c r="J18" s="63"/>
      <c r="K18" s="21"/>
      <c r="L18" s="25"/>
      <c r="M18" s="24"/>
      <c r="N18" s="118"/>
      <c r="O18" s="118"/>
      <c r="P18" s="133"/>
      <c r="Q18" s="162"/>
      <c r="R18" s="149">
        <v>8500</v>
      </c>
      <c r="S18" s="144"/>
      <c r="T18" s="132"/>
      <c r="U18" s="132"/>
    </row>
    <row r="19" spans="1:21" s="7" customFormat="1" ht="11.25">
      <c r="A19" s="8" t="s">
        <v>18</v>
      </c>
      <c r="B19" s="9"/>
      <c r="C19" s="10" t="s">
        <v>8</v>
      </c>
      <c r="D19" s="11" t="s">
        <v>9</v>
      </c>
      <c r="E19" s="16">
        <v>15000</v>
      </c>
      <c r="F19" s="17">
        <v>6900</v>
      </c>
      <c r="G19" s="23">
        <f>SUM(E19:F19)</f>
        <v>21900</v>
      </c>
      <c r="H19" s="61">
        <v>49000</v>
      </c>
      <c r="I19" s="17"/>
      <c r="J19" s="70">
        <f>SUM(H19:I19)</f>
        <v>49000</v>
      </c>
      <c r="K19" s="22">
        <v>40000</v>
      </c>
      <c r="L19" s="112">
        <v>5000</v>
      </c>
      <c r="M19" s="24">
        <v>35000</v>
      </c>
      <c r="N19" s="118"/>
      <c r="O19" s="118"/>
      <c r="P19" s="134">
        <f aca="true" t="shared" si="7" ref="P19:P28">M19+N19</f>
        <v>35000</v>
      </c>
      <c r="Q19" s="162">
        <v>15000</v>
      </c>
      <c r="R19" s="149">
        <v>47000</v>
      </c>
      <c r="S19" s="162">
        <v>40000</v>
      </c>
      <c r="T19" s="162">
        <v>40000</v>
      </c>
      <c r="U19" s="162">
        <v>40000</v>
      </c>
    </row>
    <row r="20" spans="1:21" s="7" customFormat="1" ht="11.25">
      <c r="A20" s="8">
        <v>130</v>
      </c>
      <c r="B20" s="9"/>
      <c r="C20" s="10">
        <v>9355</v>
      </c>
      <c r="D20" s="11" t="s">
        <v>19</v>
      </c>
      <c r="E20" s="16">
        <v>0</v>
      </c>
      <c r="F20" s="17"/>
      <c r="G20" s="23">
        <f>SUM(E20:F20)</f>
        <v>0</v>
      </c>
      <c r="H20" s="61">
        <v>0</v>
      </c>
      <c r="I20" s="17"/>
      <c r="J20" s="70">
        <f aca="true" t="shared" si="8" ref="J20:J28">SUM(H20:I20)</f>
        <v>0</v>
      </c>
      <c r="K20" s="22">
        <v>68000</v>
      </c>
      <c r="L20" s="112">
        <v>68000</v>
      </c>
      <c r="M20" s="24">
        <v>0</v>
      </c>
      <c r="N20" s="118"/>
      <c r="O20" s="118"/>
      <c r="P20" s="134">
        <f t="shared" si="7"/>
        <v>0</v>
      </c>
      <c r="Q20" s="162">
        <v>68000</v>
      </c>
      <c r="R20" s="162">
        <v>68000</v>
      </c>
      <c r="S20" s="144">
        <v>33000</v>
      </c>
      <c r="T20" s="131"/>
      <c r="U20" s="131"/>
    </row>
    <row r="21" spans="1:21" s="7" customFormat="1" ht="11.25">
      <c r="A21" s="8"/>
      <c r="B21" s="9"/>
      <c r="C21" s="10">
        <v>3621</v>
      </c>
      <c r="D21" s="11" t="s">
        <v>20</v>
      </c>
      <c r="E21" s="16">
        <v>0</v>
      </c>
      <c r="F21" s="17"/>
      <c r="G21" s="23">
        <v>0</v>
      </c>
      <c r="H21" s="61">
        <v>0</v>
      </c>
      <c r="I21" s="17"/>
      <c r="J21" s="70">
        <f t="shared" si="8"/>
        <v>0</v>
      </c>
      <c r="K21" s="22">
        <f>K20/2</f>
        <v>34000</v>
      </c>
      <c r="L21" s="112">
        <v>-34000</v>
      </c>
      <c r="M21" s="24">
        <v>0</v>
      </c>
      <c r="N21" s="118"/>
      <c r="O21" s="118"/>
      <c r="P21" s="134">
        <f t="shared" si="7"/>
        <v>0</v>
      </c>
      <c r="Q21" s="162">
        <v>34000</v>
      </c>
      <c r="R21" s="162">
        <v>34000</v>
      </c>
      <c r="S21" s="144">
        <v>16500</v>
      </c>
      <c r="T21" s="131"/>
      <c r="U21" s="131"/>
    </row>
    <row r="22" spans="1:21" s="191" customFormat="1" ht="11.25">
      <c r="A22" s="176">
        <v>130</v>
      </c>
      <c r="B22" s="177">
        <v>3</v>
      </c>
      <c r="C22" s="178">
        <v>9400</v>
      </c>
      <c r="D22" s="179" t="s">
        <v>21</v>
      </c>
      <c r="E22" s="180"/>
      <c r="F22" s="181"/>
      <c r="G22" s="182"/>
      <c r="H22" s="183">
        <v>15000</v>
      </c>
      <c r="I22" s="181"/>
      <c r="J22" s="184">
        <f t="shared" si="8"/>
        <v>15000</v>
      </c>
      <c r="K22" s="192"/>
      <c r="L22" s="193"/>
      <c r="M22" s="186">
        <f>K22</f>
        <v>0</v>
      </c>
      <c r="N22" s="194"/>
      <c r="O22" s="194"/>
      <c r="P22" s="187">
        <f t="shared" si="7"/>
        <v>0</v>
      </c>
      <c r="Q22" s="195"/>
      <c r="R22" s="188">
        <v>35000</v>
      </c>
      <c r="S22" s="189"/>
      <c r="T22" s="190"/>
      <c r="U22" s="190"/>
    </row>
    <row r="23" spans="1:21" s="7" customFormat="1" ht="11.25">
      <c r="A23" s="8">
        <v>130</v>
      </c>
      <c r="B23" s="9">
        <v>7</v>
      </c>
      <c r="C23" s="10">
        <v>9350</v>
      </c>
      <c r="D23" s="11" t="s">
        <v>137</v>
      </c>
      <c r="E23" s="16">
        <v>0</v>
      </c>
      <c r="F23" s="17"/>
      <c r="G23" s="23">
        <f>SUM(E23:F23)</f>
        <v>0</v>
      </c>
      <c r="H23" s="61">
        <v>0</v>
      </c>
      <c r="I23" s="17"/>
      <c r="J23" s="70">
        <f t="shared" si="8"/>
        <v>0</v>
      </c>
      <c r="K23" s="14">
        <v>641900</v>
      </c>
      <c r="L23" s="24"/>
      <c r="M23" s="24">
        <f>K23</f>
        <v>641900</v>
      </c>
      <c r="N23" s="118"/>
      <c r="O23" s="118"/>
      <c r="P23" s="134">
        <f t="shared" si="7"/>
        <v>641900</v>
      </c>
      <c r="Q23" s="161"/>
      <c r="R23" s="161"/>
      <c r="S23" s="143"/>
      <c r="T23" s="131"/>
      <c r="U23" s="131"/>
    </row>
    <row r="24" spans="1:21" s="7" customFormat="1" ht="11.25">
      <c r="A24" s="8"/>
      <c r="B24" s="9">
        <v>7</v>
      </c>
      <c r="C24" s="10">
        <v>3620</v>
      </c>
      <c r="D24" s="11" t="s">
        <v>133</v>
      </c>
      <c r="E24" s="16">
        <v>0</v>
      </c>
      <c r="F24" s="17"/>
      <c r="G24" s="23">
        <f>SUM(E24:F24)</f>
        <v>0</v>
      </c>
      <c r="H24" s="61">
        <v>0</v>
      </c>
      <c r="I24" s="17"/>
      <c r="J24" s="70">
        <f t="shared" si="8"/>
        <v>0</v>
      </c>
      <c r="K24" s="14">
        <v>100000</v>
      </c>
      <c r="L24" s="24"/>
      <c r="M24" s="24">
        <f>K24</f>
        <v>100000</v>
      </c>
      <c r="N24" s="118"/>
      <c r="O24" s="118"/>
      <c r="P24" s="134">
        <f t="shared" si="7"/>
        <v>100000</v>
      </c>
      <c r="Q24" s="161"/>
      <c r="R24" s="161"/>
      <c r="S24" s="143"/>
      <c r="T24" s="131"/>
      <c r="U24" s="131"/>
    </row>
    <row r="25" spans="1:21" s="7" customFormat="1" ht="11.25">
      <c r="A25" s="8"/>
      <c r="B25" s="9">
        <v>7</v>
      </c>
      <c r="C25" s="10" t="s">
        <v>22</v>
      </c>
      <c r="D25" s="11" t="s">
        <v>23</v>
      </c>
      <c r="E25" s="24"/>
      <c r="F25" s="17"/>
      <c r="G25" s="14">
        <v>0</v>
      </c>
      <c r="H25" s="61">
        <v>0</v>
      </c>
      <c r="I25" s="17"/>
      <c r="J25" s="70">
        <f t="shared" si="8"/>
        <v>0</v>
      </c>
      <c r="K25" s="14">
        <v>350000</v>
      </c>
      <c r="L25" s="24"/>
      <c r="M25" s="24">
        <f>K25</f>
        <v>350000</v>
      </c>
      <c r="N25" s="24">
        <v>50000</v>
      </c>
      <c r="O25" s="24"/>
      <c r="P25" s="134">
        <f t="shared" si="7"/>
        <v>400000</v>
      </c>
      <c r="Q25" s="161"/>
      <c r="R25" s="161"/>
      <c r="S25" s="143"/>
      <c r="T25" s="131"/>
      <c r="U25" s="131"/>
    </row>
    <row r="26" spans="1:21" s="7" customFormat="1" ht="11.25">
      <c r="A26" s="8"/>
      <c r="B26" s="9"/>
      <c r="C26" s="10"/>
      <c r="D26" s="11" t="s">
        <v>178</v>
      </c>
      <c r="E26" s="24"/>
      <c r="F26" s="17"/>
      <c r="G26" s="14"/>
      <c r="H26" s="61"/>
      <c r="I26" s="17"/>
      <c r="J26" s="70"/>
      <c r="K26" s="14"/>
      <c r="L26" s="24"/>
      <c r="M26" s="24"/>
      <c r="N26" s="24">
        <v>15000</v>
      </c>
      <c r="O26" s="24"/>
      <c r="P26" s="134">
        <f t="shared" si="7"/>
        <v>15000</v>
      </c>
      <c r="Q26" s="161"/>
      <c r="R26" s="161"/>
      <c r="S26" s="143"/>
      <c r="T26" s="131"/>
      <c r="U26" s="131"/>
    </row>
    <row r="27" spans="1:21" s="7" customFormat="1" ht="11.25">
      <c r="A27" s="8">
        <v>130</v>
      </c>
      <c r="B27" s="9" t="s">
        <v>27</v>
      </c>
      <c r="C27" s="10">
        <v>9350</v>
      </c>
      <c r="D27" s="11" t="s">
        <v>195</v>
      </c>
      <c r="E27" s="24"/>
      <c r="F27" s="17"/>
      <c r="G27" s="14"/>
      <c r="H27" s="61"/>
      <c r="I27" s="17"/>
      <c r="J27" s="70"/>
      <c r="K27" s="14"/>
      <c r="L27" s="24"/>
      <c r="M27" s="24"/>
      <c r="N27" s="24"/>
      <c r="O27" s="24"/>
      <c r="P27" s="134"/>
      <c r="Q27" s="161"/>
      <c r="R27" s="149">
        <v>40000</v>
      </c>
      <c r="S27" s="143"/>
      <c r="T27" s="131"/>
      <c r="U27" s="131"/>
    </row>
    <row r="28" spans="1:21" s="191" customFormat="1" ht="11.25">
      <c r="A28" s="176">
        <v>130</v>
      </c>
      <c r="B28" s="177">
        <v>10</v>
      </c>
      <c r="C28" s="178">
        <v>9400</v>
      </c>
      <c r="D28" s="179" t="s">
        <v>24</v>
      </c>
      <c r="E28" s="186"/>
      <c r="F28" s="181"/>
      <c r="G28" s="185"/>
      <c r="H28" s="183"/>
      <c r="I28" s="181"/>
      <c r="J28" s="184">
        <f t="shared" si="8"/>
        <v>0</v>
      </c>
      <c r="K28" s="185">
        <v>180000</v>
      </c>
      <c r="L28" s="186">
        <v>180000</v>
      </c>
      <c r="M28" s="186">
        <v>0</v>
      </c>
      <c r="N28" s="194"/>
      <c r="O28" s="194"/>
      <c r="P28" s="187">
        <f t="shared" si="7"/>
        <v>0</v>
      </c>
      <c r="Q28" s="188">
        <v>180000</v>
      </c>
      <c r="R28" s="188">
        <v>210000</v>
      </c>
      <c r="S28" s="188">
        <v>140000</v>
      </c>
      <c r="T28" s="190"/>
      <c r="U28" s="190"/>
    </row>
    <row r="29" spans="1:21" s="7" customFormat="1" ht="11.25">
      <c r="A29" s="8"/>
      <c r="B29" s="9"/>
      <c r="C29" s="10"/>
      <c r="D29" s="18" t="s">
        <v>13</v>
      </c>
      <c r="E29" s="25">
        <f>E21+E24</f>
        <v>0</v>
      </c>
      <c r="F29" s="20">
        <f>F21+F24</f>
        <v>0</v>
      </c>
      <c r="G29" s="21">
        <f>G21+G24+G25</f>
        <v>0</v>
      </c>
      <c r="H29" s="62" t="e">
        <f>H21+#REF!+H24+H25</f>
        <v>#REF!</v>
      </c>
      <c r="I29" s="20" t="e">
        <f>I21+#REF!+I24+I25</f>
        <v>#REF!</v>
      </c>
      <c r="J29" s="63" t="e">
        <f>J21+#REF!+J24+J25</f>
        <v>#REF!</v>
      </c>
      <c r="K29" s="21">
        <f>K21+K24+K25</f>
        <v>484000</v>
      </c>
      <c r="L29" s="25"/>
      <c r="M29" s="25">
        <f>M21+M24+M25</f>
        <v>450000</v>
      </c>
      <c r="N29" s="25">
        <f>N21+N24+N25+N26</f>
        <v>65000</v>
      </c>
      <c r="O29" s="25"/>
      <c r="P29" s="25">
        <f>P21+P24+P25+P26</f>
        <v>515000</v>
      </c>
      <c r="Q29" s="163">
        <f>Q21+Q24+Q25</f>
        <v>34000</v>
      </c>
      <c r="R29" s="163">
        <f>R21+R24+R25+R18</f>
        <v>42500</v>
      </c>
      <c r="S29" s="145">
        <f>S21+S24+S25</f>
        <v>16500</v>
      </c>
      <c r="T29" s="135">
        <f>T21+T24+T25</f>
        <v>0</v>
      </c>
      <c r="U29" s="135">
        <f>U21+U24+U25</f>
        <v>0</v>
      </c>
    </row>
    <row r="30" spans="1:21" s="7" customFormat="1" ht="11.25">
      <c r="A30" s="8"/>
      <c r="B30" s="9"/>
      <c r="C30" s="10"/>
      <c r="D30" s="18" t="s">
        <v>14</v>
      </c>
      <c r="E30" s="25" t="e">
        <f>SUM(E19:E20)+SUM(E23:E23)+#REF!</f>
        <v>#REF!</v>
      </c>
      <c r="F30" s="20" t="e">
        <f>SUM(F19:F20)+SUM(F23:F23)+#REF!</f>
        <v>#REF!</v>
      </c>
      <c r="G30" s="21" t="e">
        <f>SUM(G19:G20)+SUM(G23:G23)+#REF!+G22</f>
        <v>#REF!</v>
      </c>
      <c r="H30" s="62" t="e">
        <f>SUM(H19:H20)+SUM(#REF!)+#REF!+H22+H28</f>
        <v>#REF!</v>
      </c>
      <c r="I30" s="20" t="e">
        <f>SUM(I19:I20)+SUM(#REF!)+#REF!+I22+I28</f>
        <v>#REF!</v>
      </c>
      <c r="J30" s="63" t="e">
        <f>SUM(J19:J20)+SUM(#REF!)+#REF!+J22+J28</f>
        <v>#REF!</v>
      </c>
      <c r="K30" s="21">
        <f>SUM(K19:K20)+SUM(K23:K23)+K22+K28</f>
        <v>929900</v>
      </c>
      <c r="L30" s="25"/>
      <c r="M30" s="25">
        <f aca="true" t="shared" si="9" ref="M30:T30">SUM(M19:M20)+SUM(M23:M23)+M22+M28</f>
        <v>676900</v>
      </c>
      <c r="N30" s="25">
        <f t="shared" si="9"/>
        <v>0</v>
      </c>
      <c r="O30" s="25"/>
      <c r="P30" s="133">
        <f t="shared" si="9"/>
        <v>676900</v>
      </c>
      <c r="Q30" s="163">
        <f t="shared" si="9"/>
        <v>263000</v>
      </c>
      <c r="R30" s="163">
        <f>SUM(R19:R20)+SUM(R23:R23)+R22+R28+R27</f>
        <v>400000</v>
      </c>
      <c r="S30" s="145">
        <f t="shared" si="9"/>
        <v>213000</v>
      </c>
      <c r="T30" s="135">
        <f t="shared" si="9"/>
        <v>40000</v>
      </c>
      <c r="U30" s="135">
        <f>SUM(U19:U20)+SUM(U23:U23)+U22+U28</f>
        <v>40000</v>
      </c>
    </row>
    <row r="31" spans="1:21" s="7" customFormat="1" ht="11.25">
      <c r="A31" s="8"/>
      <c r="B31" s="9"/>
      <c r="C31" s="10"/>
      <c r="D31" s="18" t="s">
        <v>15</v>
      </c>
      <c r="E31" s="25" t="e">
        <f aca="true" t="shared" si="10" ref="E31:N31">E29-E30</f>
        <v>#REF!</v>
      </c>
      <c r="F31" s="20" t="e">
        <f>F29-F30</f>
        <v>#REF!</v>
      </c>
      <c r="G31" s="21" t="e">
        <f>G29-G30</f>
        <v>#REF!</v>
      </c>
      <c r="H31" s="62" t="e">
        <f t="shared" si="10"/>
        <v>#REF!</v>
      </c>
      <c r="I31" s="20" t="e">
        <f>I29-I30</f>
        <v>#REF!</v>
      </c>
      <c r="J31" s="63" t="e">
        <f>J29-J30</f>
        <v>#REF!</v>
      </c>
      <c r="K31" s="21">
        <f t="shared" si="10"/>
        <v>-445900</v>
      </c>
      <c r="L31" s="25"/>
      <c r="M31" s="25">
        <f t="shared" si="10"/>
        <v>-226900</v>
      </c>
      <c r="N31" s="25">
        <f t="shared" si="10"/>
        <v>65000</v>
      </c>
      <c r="O31" s="25"/>
      <c r="P31" s="133">
        <f aca="true" t="shared" si="11" ref="P31:U31">P29-P30</f>
        <v>-161900</v>
      </c>
      <c r="Q31" s="163">
        <f t="shared" si="11"/>
        <v>-229000</v>
      </c>
      <c r="R31" s="163">
        <f t="shared" si="11"/>
        <v>-357500</v>
      </c>
      <c r="S31" s="145">
        <f t="shared" si="11"/>
        <v>-196500</v>
      </c>
      <c r="T31" s="135">
        <f t="shared" si="11"/>
        <v>-40000</v>
      </c>
      <c r="U31" s="135">
        <f t="shared" si="11"/>
        <v>-40000</v>
      </c>
    </row>
    <row r="32" spans="1:21" s="7" customFormat="1" ht="13.5" customHeight="1">
      <c r="A32" s="99" t="s">
        <v>25</v>
      </c>
      <c r="B32" s="9"/>
      <c r="C32" s="10"/>
      <c r="D32" s="15" t="s">
        <v>26</v>
      </c>
      <c r="E32" s="25"/>
      <c r="F32" s="20"/>
      <c r="G32" s="21"/>
      <c r="H32" s="62"/>
      <c r="I32" s="20"/>
      <c r="J32" s="63"/>
      <c r="K32" s="21"/>
      <c r="L32" s="25"/>
      <c r="M32" s="24"/>
      <c r="N32" s="118"/>
      <c r="O32" s="118"/>
      <c r="P32" s="133"/>
      <c r="Q32" s="162"/>
      <c r="R32" s="162"/>
      <c r="S32" s="144"/>
      <c r="T32" s="131"/>
      <c r="U32" s="131"/>
    </row>
    <row r="33" spans="1:21" s="7" customFormat="1" ht="11.25">
      <c r="A33" s="8">
        <v>160</v>
      </c>
      <c r="B33" s="9" t="s">
        <v>27</v>
      </c>
      <c r="C33" s="10">
        <v>9881</v>
      </c>
      <c r="D33" s="11" t="s">
        <v>28</v>
      </c>
      <c r="E33" s="12">
        <v>0</v>
      </c>
      <c r="F33" s="13">
        <v>0</v>
      </c>
      <c r="G33" s="23">
        <f>SUM(E33:F33)</f>
        <v>0</v>
      </c>
      <c r="H33" s="64">
        <v>0</v>
      </c>
      <c r="I33" s="13"/>
      <c r="J33" s="70">
        <f>SUM(H33:I33)</f>
        <v>0</v>
      </c>
      <c r="K33" s="26">
        <v>5500</v>
      </c>
      <c r="L33" s="113">
        <v>5500</v>
      </c>
      <c r="M33" s="24">
        <v>0</v>
      </c>
      <c r="N33" s="118"/>
      <c r="O33" s="118"/>
      <c r="P33" s="134">
        <f>M33+N33</f>
        <v>0</v>
      </c>
      <c r="Q33" s="162">
        <v>5500</v>
      </c>
      <c r="R33" s="162">
        <v>5500</v>
      </c>
      <c r="S33" s="144">
        <v>2000</v>
      </c>
      <c r="T33" s="131"/>
      <c r="U33" s="131"/>
    </row>
    <row r="34" spans="1:21" s="7" customFormat="1" ht="11.25">
      <c r="A34" s="8"/>
      <c r="B34" s="9"/>
      <c r="C34" s="10"/>
      <c r="D34" s="18" t="s">
        <v>13</v>
      </c>
      <c r="E34" s="19">
        <f>0</f>
        <v>0</v>
      </c>
      <c r="F34" s="20">
        <v>0</v>
      </c>
      <c r="G34" s="58">
        <v>0</v>
      </c>
      <c r="H34" s="62">
        <f>H33</f>
        <v>0</v>
      </c>
      <c r="I34" s="20">
        <f>I33</f>
        <v>0</v>
      </c>
      <c r="J34" s="63">
        <f>J33</f>
        <v>0</v>
      </c>
      <c r="K34" s="21">
        <f>0</f>
        <v>0</v>
      </c>
      <c r="L34" s="25"/>
      <c r="M34" s="25">
        <f>0</f>
        <v>0</v>
      </c>
      <c r="N34" s="118"/>
      <c r="O34" s="118"/>
      <c r="P34" s="133">
        <f>0</f>
        <v>0</v>
      </c>
      <c r="Q34" s="163">
        <f>0</f>
        <v>0</v>
      </c>
      <c r="R34" s="163">
        <f>0</f>
        <v>0</v>
      </c>
      <c r="S34" s="145">
        <f>0</f>
        <v>0</v>
      </c>
      <c r="T34" s="135">
        <f>0</f>
        <v>0</v>
      </c>
      <c r="U34" s="135">
        <f>0</f>
        <v>0</v>
      </c>
    </row>
    <row r="35" spans="1:21" s="7" customFormat="1" ht="11.25">
      <c r="A35" s="8"/>
      <c r="B35" s="9"/>
      <c r="C35" s="10"/>
      <c r="D35" s="18" t="s">
        <v>14</v>
      </c>
      <c r="E35" s="19">
        <f aca="true" t="shared" si="12" ref="E35:M35">SUM(E33)</f>
        <v>0</v>
      </c>
      <c r="F35" s="20">
        <f t="shared" si="12"/>
        <v>0</v>
      </c>
      <c r="G35" s="58">
        <f t="shared" si="12"/>
        <v>0</v>
      </c>
      <c r="H35" s="62">
        <f t="shared" si="12"/>
        <v>0</v>
      </c>
      <c r="I35" s="20">
        <f>SUM(I33)</f>
        <v>0</v>
      </c>
      <c r="J35" s="63">
        <f>SUM(J33)</f>
        <v>0</v>
      </c>
      <c r="K35" s="21">
        <f t="shared" si="12"/>
        <v>5500</v>
      </c>
      <c r="L35" s="25"/>
      <c r="M35" s="25">
        <f t="shared" si="12"/>
        <v>0</v>
      </c>
      <c r="N35" s="118"/>
      <c r="O35" s="118"/>
      <c r="P35" s="133">
        <f aca="true" t="shared" si="13" ref="P35:U35">SUM(P33)</f>
        <v>0</v>
      </c>
      <c r="Q35" s="163">
        <f t="shared" si="13"/>
        <v>5500</v>
      </c>
      <c r="R35" s="163">
        <f t="shared" si="13"/>
        <v>5500</v>
      </c>
      <c r="S35" s="145">
        <f t="shared" si="13"/>
        <v>2000</v>
      </c>
      <c r="T35" s="135">
        <f t="shared" si="13"/>
        <v>0</v>
      </c>
      <c r="U35" s="135">
        <f t="shared" si="13"/>
        <v>0</v>
      </c>
    </row>
    <row r="36" spans="1:21" s="7" customFormat="1" ht="11.25">
      <c r="A36" s="8"/>
      <c r="B36" s="9"/>
      <c r="C36" s="10"/>
      <c r="D36" s="18" t="s">
        <v>15</v>
      </c>
      <c r="E36" s="19">
        <f aca="true" t="shared" si="14" ref="E36:M36">E34-E35</f>
        <v>0</v>
      </c>
      <c r="F36" s="20">
        <f t="shared" si="14"/>
        <v>0</v>
      </c>
      <c r="G36" s="58">
        <f t="shared" si="14"/>
        <v>0</v>
      </c>
      <c r="H36" s="62">
        <f t="shared" si="14"/>
        <v>0</v>
      </c>
      <c r="I36" s="20">
        <f>I34-I35</f>
        <v>0</v>
      </c>
      <c r="J36" s="63">
        <f>J34-J35</f>
        <v>0</v>
      </c>
      <c r="K36" s="21">
        <f t="shared" si="14"/>
        <v>-5500</v>
      </c>
      <c r="L36" s="25"/>
      <c r="M36" s="25">
        <f t="shared" si="14"/>
        <v>0</v>
      </c>
      <c r="N36" s="118"/>
      <c r="O36" s="118"/>
      <c r="P36" s="133">
        <f aca="true" t="shared" si="15" ref="P36:U36">P34-P35</f>
        <v>0</v>
      </c>
      <c r="Q36" s="163">
        <f t="shared" si="15"/>
        <v>-5500</v>
      </c>
      <c r="R36" s="163">
        <f t="shared" si="15"/>
        <v>-5500</v>
      </c>
      <c r="S36" s="145">
        <f t="shared" si="15"/>
        <v>-2000</v>
      </c>
      <c r="T36" s="135">
        <f t="shared" si="15"/>
        <v>0</v>
      </c>
      <c r="U36" s="135">
        <f t="shared" si="15"/>
        <v>0</v>
      </c>
    </row>
    <row r="37" spans="1:21" s="7" customFormat="1" ht="13.5" customHeight="1">
      <c r="A37" s="99" t="s">
        <v>29</v>
      </c>
      <c r="B37" s="9"/>
      <c r="C37" s="10"/>
      <c r="D37" s="15" t="s">
        <v>30</v>
      </c>
      <c r="E37" s="19"/>
      <c r="F37" s="20"/>
      <c r="G37" s="58"/>
      <c r="H37" s="62"/>
      <c r="I37" s="20"/>
      <c r="J37" s="63"/>
      <c r="K37" s="21"/>
      <c r="L37" s="25"/>
      <c r="M37" s="24"/>
      <c r="N37" s="118"/>
      <c r="O37" s="118"/>
      <c r="P37" s="133"/>
      <c r="Q37" s="161"/>
      <c r="R37" s="161"/>
      <c r="S37" s="143"/>
      <c r="T37" s="131"/>
      <c r="U37" s="131"/>
    </row>
    <row r="38" spans="1:21" s="7" customFormat="1" ht="11.25">
      <c r="A38" s="8" t="s">
        <v>31</v>
      </c>
      <c r="B38" s="9"/>
      <c r="C38" s="10" t="s">
        <v>8</v>
      </c>
      <c r="D38" s="11" t="s">
        <v>9</v>
      </c>
      <c r="E38" s="16">
        <v>15000</v>
      </c>
      <c r="F38" s="17">
        <v>8000</v>
      </c>
      <c r="G38" s="23">
        <f>SUM(E38:F38)</f>
        <v>23000</v>
      </c>
      <c r="H38" s="61">
        <v>25000</v>
      </c>
      <c r="I38" s="17"/>
      <c r="J38" s="70">
        <f>SUM(H38:I38)</f>
        <v>25000</v>
      </c>
      <c r="K38" s="14">
        <v>25000</v>
      </c>
      <c r="L38" s="24"/>
      <c r="M38" s="24">
        <f>K38</f>
        <v>25000</v>
      </c>
      <c r="N38" s="118"/>
      <c r="O38" s="118"/>
      <c r="P38" s="134">
        <f>M38+N38</f>
        <v>25000</v>
      </c>
      <c r="Q38" s="162">
        <v>20000</v>
      </c>
      <c r="R38" s="162">
        <v>20000</v>
      </c>
      <c r="S38" s="144">
        <v>20000</v>
      </c>
      <c r="T38" s="132">
        <v>20000</v>
      </c>
      <c r="U38" s="132">
        <v>0</v>
      </c>
    </row>
    <row r="39" spans="1:21" s="7" customFormat="1" ht="11.25">
      <c r="A39" s="8">
        <v>230</v>
      </c>
      <c r="B39" s="9">
        <v>2</v>
      </c>
      <c r="C39" s="10">
        <v>9351</v>
      </c>
      <c r="D39" s="11" t="s">
        <v>153</v>
      </c>
      <c r="E39" s="16"/>
      <c r="F39" s="17"/>
      <c r="G39" s="23"/>
      <c r="H39" s="61"/>
      <c r="I39" s="17"/>
      <c r="J39" s="70"/>
      <c r="K39" s="14">
        <v>40000</v>
      </c>
      <c r="L39" s="24"/>
      <c r="M39" s="24">
        <f>K39</f>
        <v>40000</v>
      </c>
      <c r="N39" s="118">
        <v>-20000</v>
      </c>
      <c r="O39" s="118"/>
      <c r="P39" s="134">
        <f>M39+N39</f>
        <v>20000</v>
      </c>
      <c r="Q39" s="162">
        <v>20000</v>
      </c>
      <c r="R39" s="162">
        <v>20000</v>
      </c>
      <c r="S39" s="144"/>
      <c r="T39" s="131"/>
      <c r="U39" s="131"/>
    </row>
    <row r="40" spans="1:21" s="7" customFormat="1" ht="11.25">
      <c r="A40" s="8"/>
      <c r="B40" s="9"/>
      <c r="C40" s="10"/>
      <c r="D40" s="11" t="s">
        <v>176</v>
      </c>
      <c r="E40" s="16"/>
      <c r="F40" s="17"/>
      <c r="G40" s="23"/>
      <c r="H40" s="61"/>
      <c r="I40" s="17"/>
      <c r="J40" s="70"/>
      <c r="K40" s="14"/>
      <c r="L40" s="24"/>
      <c r="M40" s="24"/>
      <c r="N40" s="118">
        <v>5100</v>
      </c>
      <c r="O40" s="118"/>
      <c r="P40" s="134">
        <f>M40+N40</f>
        <v>5100</v>
      </c>
      <c r="Q40" s="162"/>
      <c r="R40" s="162"/>
      <c r="S40" s="144"/>
      <c r="T40" s="131"/>
      <c r="U40" s="131"/>
    </row>
    <row r="41" spans="1:21" s="7" customFormat="1" ht="11.25">
      <c r="A41" s="8"/>
      <c r="B41" s="9"/>
      <c r="C41" s="10"/>
      <c r="D41" s="11" t="s">
        <v>179</v>
      </c>
      <c r="E41" s="16"/>
      <c r="F41" s="17"/>
      <c r="G41" s="23"/>
      <c r="H41" s="61"/>
      <c r="I41" s="17"/>
      <c r="J41" s="70"/>
      <c r="K41" s="14"/>
      <c r="L41" s="24"/>
      <c r="M41" s="24"/>
      <c r="N41" s="118">
        <v>5000</v>
      </c>
      <c r="O41" s="118"/>
      <c r="P41" s="134">
        <f>M41+N41</f>
        <v>5000</v>
      </c>
      <c r="Q41" s="162"/>
      <c r="R41" s="162"/>
      <c r="S41" s="144"/>
      <c r="T41" s="131"/>
      <c r="U41" s="131"/>
    </row>
    <row r="42" spans="1:21" s="7" customFormat="1" ht="11.25">
      <c r="A42" s="8">
        <v>230</v>
      </c>
      <c r="B42" s="9" t="s">
        <v>27</v>
      </c>
      <c r="C42" s="10">
        <v>9400</v>
      </c>
      <c r="D42" s="11" t="s">
        <v>196</v>
      </c>
      <c r="E42" s="16"/>
      <c r="F42" s="17"/>
      <c r="G42" s="23"/>
      <c r="H42" s="61"/>
      <c r="I42" s="17"/>
      <c r="J42" s="70"/>
      <c r="K42" s="14"/>
      <c r="L42" s="24"/>
      <c r="M42" s="24"/>
      <c r="N42" s="118"/>
      <c r="O42" s="118"/>
      <c r="P42" s="24"/>
      <c r="Q42" s="162"/>
      <c r="R42" s="149">
        <v>170000</v>
      </c>
      <c r="S42" s="144"/>
      <c r="T42" s="131"/>
      <c r="U42" s="131"/>
    </row>
    <row r="43" spans="1:21" s="7" customFormat="1" ht="11.25">
      <c r="A43" s="8"/>
      <c r="B43" s="9"/>
      <c r="C43" s="10"/>
      <c r="D43" s="18" t="s">
        <v>13</v>
      </c>
      <c r="E43" s="19" t="e">
        <f>SUM(#REF!)</f>
        <v>#REF!</v>
      </c>
      <c r="F43" s="20" t="e">
        <f>SUM(#REF!)</f>
        <v>#REF!</v>
      </c>
      <c r="G43" s="58" t="e">
        <f>SUM(#REF!)</f>
        <v>#REF!</v>
      </c>
      <c r="H43" s="62" t="e">
        <f>SUM(#REF!)</f>
        <v>#REF!</v>
      </c>
      <c r="I43" s="20" t="e">
        <f>SUM(#REF!)</f>
        <v>#REF!</v>
      </c>
      <c r="J43" s="63" t="e">
        <f>SUM(#REF!)</f>
        <v>#REF!</v>
      </c>
      <c r="K43" s="21">
        <v>0</v>
      </c>
      <c r="L43" s="25"/>
      <c r="M43" s="25">
        <v>0</v>
      </c>
      <c r="N43" s="25">
        <f>N41</f>
        <v>5000</v>
      </c>
      <c r="O43" s="25"/>
      <c r="P43" s="25">
        <f>P41</f>
        <v>5000</v>
      </c>
      <c r="Q43" s="163">
        <v>0</v>
      </c>
      <c r="R43" s="163">
        <v>0</v>
      </c>
      <c r="S43" s="145">
        <v>0</v>
      </c>
      <c r="T43" s="135">
        <v>0</v>
      </c>
      <c r="U43" s="135">
        <v>0</v>
      </c>
    </row>
    <row r="44" spans="1:21" s="7" customFormat="1" ht="11.25">
      <c r="A44" s="8"/>
      <c r="B44" s="9"/>
      <c r="C44" s="10"/>
      <c r="D44" s="18" t="s">
        <v>14</v>
      </c>
      <c r="E44" s="19">
        <f aca="true" t="shared" si="16" ref="E44:M44">SUM(E38:E39)</f>
        <v>15000</v>
      </c>
      <c r="F44" s="20">
        <f t="shared" si="16"/>
        <v>8000</v>
      </c>
      <c r="G44" s="58">
        <f t="shared" si="16"/>
        <v>23000</v>
      </c>
      <c r="H44" s="62">
        <f t="shared" si="16"/>
        <v>25000</v>
      </c>
      <c r="I44" s="20">
        <f t="shared" si="16"/>
        <v>0</v>
      </c>
      <c r="J44" s="63">
        <f t="shared" si="16"/>
        <v>25000</v>
      </c>
      <c r="K44" s="21">
        <f t="shared" si="16"/>
        <v>65000</v>
      </c>
      <c r="L44" s="25"/>
      <c r="M44" s="25">
        <f t="shared" si="16"/>
        <v>65000</v>
      </c>
      <c r="N44" s="25">
        <f>SUM(N38:N39)+N40</f>
        <v>-14900</v>
      </c>
      <c r="O44" s="25"/>
      <c r="P44" s="25">
        <f>SUM(P38:P39)+P40</f>
        <v>50100</v>
      </c>
      <c r="Q44" s="163">
        <f>SUM(Q38:Q39)</f>
        <v>40000</v>
      </c>
      <c r="R44" s="163">
        <f>SUM(R38:R42)</f>
        <v>210000</v>
      </c>
      <c r="S44" s="145">
        <f>SUM(S38:S39)</f>
        <v>20000</v>
      </c>
      <c r="T44" s="135">
        <f>SUM(T38:T39)</f>
        <v>20000</v>
      </c>
      <c r="U44" s="135">
        <f>SUM(U38:U39)</f>
        <v>0</v>
      </c>
    </row>
    <row r="45" spans="1:21" s="7" customFormat="1" ht="11.25">
      <c r="A45" s="8"/>
      <c r="B45" s="9"/>
      <c r="C45" s="10"/>
      <c r="D45" s="18" t="s">
        <v>15</v>
      </c>
      <c r="E45" s="19" t="e">
        <f aca="true" t="shared" si="17" ref="E45:N45">E43-E44</f>
        <v>#REF!</v>
      </c>
      <c r="F45" s="20" t="e">
        <f>F43-F44</f>
        <v>#REF!</v>
      </c>
      <c r="G45" s="58" t="e">
        <f>G43-G44</f>
        <v>#REF!</v>
      </c>
      <c r="H45" s="62" t="e">
        <f t="shared" si="17"/>
        <v>#REF!</v>
      </c>
      <c r="I45" s="20" t="e">
        <f>I43-I44</f>
        <v>#REF!</v>
      </c>
      <c r="J45" s="63" t="e">
        <f>J43-J44</f>
        <v>#REF!</v>
      </c>
      <c r="K45" s="21">
        <f t="shared" si="17"/>
        <v>-65000</v>
      </c>
      <c r="L45" s="25"/>
      <c r="M45" s="25">
        <f t="shared" si="17"/>
        <v>-65000</v>
      </c>
      <c r="N45" s="25">
        <f t="shared" si="17"/>
        <v>19900</v>
      </c>
      <c r="O45" s="25"/>
      <c r="P45" s="133">
        <f aca="true" t="shared" si="18" ref="P45:U45">P43-P44</f>
        <v>-45100</v>
      </c>
      <c r="Q45" s="163">
        <f t="shared" si="18"/>
        <v>-40000</v>
      </c>
      <c r="R45" s="163">
        <f t="shared" si="18"/>
        <v>-210000</v>
      </c>
      <c r="S45" s="145">
        <f t="shared" si="18"/>
        <v>-20000</v>
      </c>
      <c r="T45" s="135">
        <f t="shared" si="18"/>
        <v>-20000</v>
      </c>
      <c r="U45" s="135">
        <f t="shared" si="18"/>
        <v>0</v>
      </c>
    </row>
    <row r="46" spans="1:21" s="7" customFormat="1" ht="12.75">
      <c r="A46" s="99" t="s">
        <v>33</v>
      </c>
      <c r="B46" s="9"/>
      <c r="C46" s="10"/>
      <c r="D46" s="15" t="s">
        <v>34</v>
      </c>
      <c r="E46" s="19"/>
      <c r="F46" s="20"/>
      <c r="G46" s="58"/>
      <c r="H46" s="62"/>
      <c r="I46" s="20"/>
      <c r="J46" s="63"/>
      <c r="K46" s="21"/>
      <c r="L46" s="25"/>
      <c r="M46" s="24"/>
      <c r="N46" s="118"/>
      <c r="O46" s="118"/>
      <c r="P46" s="133"/>
      <c r="Q46" s="161"/>
      <c r="R46" s="161"/>
      <c r="S46" s="143"/>
      <c r="T46" s="131"/>
      <c r="U46" s="131"/>
    </row>
    <row r="47" spans="1:21" s="7" customFormat="1" ht="11.25">
      <c r="A47" s="8">
        <v>231</v>
      </c>
      <c r="B47" s="9">
        <v>2</v>
      </c>
      <c r="C47" s="10">
        <v>9500</v>
      </c>
      <c r="D47" s="11" t="s">
        <v>147</v>
      </c>
      <c r="E47" s="12"/>
      <c r="F47" s="13"/>
      <c r="G47" s="23"/>
      <c r="H47" s="64"/>
      <c r="I47" s="13"/>
      <c r="J47" s="70"/>
      <c r="K47" s="26">
        <v>11000</v>
      </c>
      <c r="L47" s="113"/>
      <c r="M47" s="24">
        <f>K47</f>
        <v>11000</v>
      </c>
      <c r="N47" s="118">
        <v>-11000</v>
      </c>
      <c r="O47" s="118"/>
      <c r="P47" s="134">
        <f>M47+N47</f>
        <v>0</v>
      </c>
      <c r="Q47" s="161">
        <v>0</v>
      </c>
      <c r="R47" s="161">
        <v>0</v>
      </c>
      <c r="S47" s="143">
        <v>11000</v>
      </c>
      <c r="T47" s="131"/>
      <c r="U47" s="131"/>
    </row>
    <row r="48" spans="1:21" s="7" customFormat="1" ht="11.25">
      <c r="A48" s="8"/>
      <c r="B48" s="9"/>
      <c r="C48" s="10"/>
      <c r="D48" s="18" t="s">
        <v>13</v>
      </c>
      <c r="E48" s="19">
        <f aca="true" t="shared" si="19" ref="E48:U48">SUM(0)</f>
        <v>0</v>
      </c>
      <c r="F48" s="20">
        <f t="shared" si="19"/>
        <v>0</v>
      </c>
      <c r="G48" s="58">
        <f t="shared" si="19"/>
        <v>0</v>
      </c>
      <c r="H48" s="62">
        <f t="shared" si="19"/>
        <v>0</v>
      </c>
      <c r="I48" s="20">
        <f t="shared" si="19"/>
        <v>0</v>
      </c>
      <c r="J48" s="63">
        <f t="shared" si="19"/>
        <v>0</v>
      </c>
      <c r="K48" s="21">
        <f t="shared" si="19"/>
        <v>0</v>
      </c>
      <c r="L48" s="25"/>
      <c r="M48" s="25">
        <f t="shared" si="19"/>
        <v>0</v>
      </c>
      <c r="N48" s="25">
        <f t="shared" si="19"/>
        <v>0</v>
      </c>
      <c r="O48" s="25"/>
      <c r="P48" s="133">
        <f t="shared" si="19"/>
        <v>0</v>
      </c>
      <c r="Q48" s="163">
        <f t="shared" si="19"/>
        <v>0</v>
      </c>
      <c r="R48" s="163">
        <f t="shared" si="19"/>
        <v>0</v>
      </c>
      <c r="S48" s="145">
        <f t="shared" si="19"/>
        <v>0</v>
      </c>
      <c r="T48" s="135">
        <f t="shared" si="19"/>
        <v>0</v>
      </c>
      <c r="U48" s="135">
        <f t="shared" si="19"/>
        <v>0</v>
      </c>
    </row>
    <row r="49" spans="1:21" s="7" customFormat="1" ht="11.25">
      <c r="A49" s="8"/>
      <c r="B49" s="9"/>
      <c r="C49" s="10"/>
      <c r="D49" s="18" t="s">
        <v>14</v>
      </c>
      <c r="E49" s="19" t="e">
        <f>SUM(#REF!)</f>
        <v>#REF!</v>
      </c>
      <c r="F49" s="20" t="e">
        <f>SUM(#REF!)</f>
        <v>#REF!</v>
      </c>
      <c r="G49" s="58" t="e">
        <f>SUM(#REF!)</f>
        <v>#REF!</v>
      </c>
      <c r="H49" s="62" t="e">
        <f>SUM(#REF!)</f>
        <v>#REF!</v>
      </c>
      <c r="I49" s="20" t="e">
        <f>SUM(#REF!)</f>
        <v>#REF!</v>
      </c>
      <c r="J49" s="63">
        <f>SUM(J47:J47)</f>
        <v>0</v>
      </c>
      <c r="K49" s="21">
        <f>SUM(K47:K47)</f>
        <v>11000</v>
      </c>
      <c r="L49" s="25"/>
      <c r="M49" s="25">
        <f aca="true" t="shared" si="20" ref="M49:T49">SUM(M47:M47)</f>
        <v>11000</v>
      </c>
      <c r="N49" s="25">
        <f t="shared" si="20"/>
        <v>-11000</v>
      </c>
      <c r="O49" s="25"/>
      <c r="P49" s="133">
        <f t="shared" si="20"/>
        <v>0</v>
      </c>
      <c r="Q49" s="163">
        <f t="shared" si="20"/>
        <v>0</v>
      </c>
      <c r="R49" s="163">
        <f>SUM(R47:R47)</f>
        <v>0</v>
      </c>
      <c r="S49" s="145">
        <f t="shared" si="20"/>
        <v>11000</v>
      </c>
      <c r="T49" s="135">
        <f t="shared" si="20"/>
        <v>0</v>
      </c>
      <c r="U49" s="135">
        <f>SUM(U47:U47)</f>
        <v>0</v>
      </c>
    </row>
    <row r="50" spans="1:21" s="7" customFormat="1" ht="11.25">
      <c r="A50" s="8"/>
      <c r="B50" s="9"/>
      <c r="C50" s="10"/>
      <c r="D50" s="18" t="s">
        <v>15</v>
      </c>
      <c r="E50" s="19" t="e">
        <f aca="true" t="shared" si="21" ref="E50:N50">E48-E49</f>
        <v>#REF!</v>
      </c>
      <c r="F50" s="20" t="e">
        <f>F48-F49</f>
        <v>#REF!</v>
      </c>
      <c r="G50" s="58" t="e">
        <f>G48-G49</f>
        <v>#REF!</v>
      </c>
      <c r="H50" s="62" t="e">
        <f t="shared" si="21"/>
        <v>#REF!</v>
      </c>
      <c r="I50" s="20" t="e">
        <f>I48-I49</f>
        <v>#REF!</v>
      </c>
      <c r="J50" s="63">
        <f>J48-J49</f>
        <v>0</v>
      </c>
      <c r="K50" s="21">
        <f t="shared" si="21"/>
        <v>-11000</v>
      </c>
      <c r="L50" s="25"/>
      <c r="M50" s="25">
        <f t="shared" si="21"/>
        <v>-11000</v>
      </c>
      <c r="N50" s="25">
        <f t="shared" si="21"/>
        <v>11000</v>
      </c>
      <c r="O50" s="25"/>
      <c r="P50" s="133">
        <f aca="true" t="shared" si="22" ref="P50:U50">P48-P49</f>
        <v>0</v>
      </c>
      <c r="Q50" s="163">
        <f t="shared" si="22"/>
        <v>0</v>
      </c>
      <c r="R50" s="163">
        <f t="shared" si="22"/>
        <v>0</v>
      </c>
      <c r="S50" s="145">
        <f t="shared" si="22"/>
        <v>-11000</v>
      </c>
      <c r="T50" s="135">
        <f t="shared" si="22"/>
        <v>0</v>
      </c>
      <c r="U50" s="135">
        <f t="shared" si="22"/>
        <v>0</v>
      </c>
    </row>
    <row r="51" spans="1:21" s="7" customFormat="1" ht="12.75">
      <c r="A51" s="99" t="s">
        <v>197</v>
      </c>
      <c r="B51" s="9"/>
      <c r="C51" s="10"/>
      <c r="D51" s="15" t="s">
        <v>198</v>
      </c>
      <c r="E51" s="19"/>
      <c r="F51" s="20"/>
      <c r="G51" s="58"/>
      <c r="H51" s="62"/>
      <c r="I51" s="20"/>
      <c r="J51" s="63"/>
      <c r="K51" s="21"/>
      <c r="L51" s="25"/>
      <c r="M51" s="25"/>
      <c r="N51" s="25"/>
      <c r="O51" s="25"/>
      <c r="P51" s="133"/>
      <c r="Q51" s="163"/>
      <c r="R51" s="163" t="s">
        <v>199</v>
      </c>
      <c r="S51" s="145"/>
      <c r="T51" s="135"/>
      <c r="U51" s="135"/>
    </row>
    <row r="52" spans="1:21" s="7" customFormat="1" ht="12.75">
      <c r="A52" s="99" t="s">
        <v>138</v>
      </c>
      <c r="B52" s="9"/>
      <c r="C52" s="10"/>
      <c r="D52" s="15" t="s">
        <v>139</v>
      </c>
      <c r="E52" s="19"/>
      <c r="F52" s="20"/>
      <c r="G52" s="58"/>
      <c r="H52" s="62"/>
      <c r="I52" s="20"/>
      <c r="J52" s="63"/>
      <c r="K52" s="21"/>
      <c r="L52" s="25"/>
      <c r="M52" s="24"/>
      <c r="N52" s="118"/>
      <c r="O52" s="118"/>
      <c r="P52" s="133"/>
      <c r="Q52" s="162"/>
      <c r="R52" s="162"/>
      <c r="S52" s="144"/>
      <c r="T52" s="132"/>
      <c r="U52" s="132"/>
    </row>
    <row r="53" spans="1:21" s="7" customFormat="1" ht="11.25">
      <c r="A53" s="8">
        <v>350</v>
      </c>
      <c r="B53" s="9"/>
      <c r="C53" s="10">
        <v>9351</v>
      </c>
      <c r="D53" s="11" t="s">
        <v>11</v>
      </c>
      <c r="E53" s="12">
        <v>0</v>
      </c>
      <c r="F53" s="13">
        <v>30000</v>
      </c>
      <c r="G53" s="23">
        <f>SUM(E53:F53)</f>
        <v>30000</v>
      </c>
      <c r="H53" s="64">
        <v>0</v>
      </c>
      <c r="I53" s="13"/>
      <c r="J53" s="70">
        <f>SUM(H53:I53)</f>
        <v>0</v>
      </c>
      <c r="K53" s="26">
        <v>8000</v>
      </c>
      <c r="L53" s="113"/>
      <c r="M53" s="24">
        <f>K53</f>
        <v>8000</v>
      </c>
      <c r="N53" s="24">
        <v>-4000</v>
      </c>
      <c r="O53" s="24"/>
      <c r="P53" s="134">
        <f>M53+N53</f>
        <v>4000</v>
      </c>
      <c r="Q53" s="162"/>
      <c r="R53" s="162"/>
      <c r="S53" s="144"/>
      <c r="T53" s="132"/>
      <c r="U53" s="132"/>
    </row>
    <row r="54" spans="1:21" s="7" customFormat="1" ht="11.25">
      <c r="A54" s="8"/>
      <c r="B54" s="9"/>
      <c r="C54" s="10"/>
      <c r="D54" s="18" t="s">
        <v>13</v>
      </c>
      <c r="E54" s="19">
        <f aca="true" t="shared" si="23" ref="E54:J54">SUM(0)</f>
        <v>0</v>
      </c>
      <c r="F54" s="20">
        <f t="shared" si="23"/>
        <v>0</v>
      </c>
      <c r="G54" s="58">
        <f t="shared" si="23"/>
        <v>0</v>
      </c>
      <c r="H54" s="62">
        <f t="shared" si="23"/>
        <v>0</v>
      </c>
      <c r="I54" s="20">
        <f t="shared" si="23"/>
        <v>0</v>
      </c>
      <c r="J54" s="63">
        <f t="shared" si="23"/>
        <v>0</v>
      </c>
      <c r="K54" s="21">
        <f>SUM(0)</f>
        <v>0</v>
      </c>
      <c r="L54" s="25"/>
      <c r="M54" s="25">
        <f aca="true" t="shared" si="24" ref="M54:U54">SUM(0)</f>
        <v>0</v>
      </c>
      <c r="N54" s="25">
        <f t="shared" si="24"/>
        <v>0</v>
      </c>
      <c r="O54" s="25"/>
      <c r="P54" s="133">
        <f t="shared" si="24"/>
        <v>0</v>
      </c>
      <c r="Q54" s="163">
        <f t="shared" si="24"/>
        <v>0</v>
      </c>
      <c r="R54" s="163">
        <f t="shared" si="24"/>
        <v>0</v>
      </c>
      <c r="S54" s="145">
        <f t="shared" si="24"/>
        <v>0</v>
      </c>
      <c r="T54" s="135">
        <f t="shared" si="24"/>
        <v>0</v>
      </c>
      <c r="U54" s="135">
        <f t="shared" si="24"/>
        <v>0</v>
      </c>
    </row>
    <row r="55" spans="1:21" s="7" customFormat="1" ht="11.25">
      <c r="A55" s="8"/>
      <c r="B55" s="9"/>
      <c r="C55" s="10"/>
      <c r="D55" s="18" t="s">
        <v>14</v>
      </c>
      <c r="E55" s="19">
        <f aca="true" t="shared" si="25" ref="E55:N55">SUM(E53)</f>
        <v>0</v>
      </c>
      <c r="F55" s="20">
        <f t="shared" si="25"/>
        <v>30000</v>
      </c>
      <c r="G55" s="58">
        <f t="shared" si="25"/>
        <v>30000</v>
      </c>
      <c r="H55" s="62">
        <f t="shared" si="25"/>
        <v>0</v>
      </c>
      <c r="I55" s="20">
        <f t="shared" si="25"/>
        <v>0</v>
      </c>
      <c r="J55" s="63">
        <f t="shared" si="25"/>
        <v>0</v>
      </c>
      <c r="K55" s="21">
        <f t="shared" si="25"/>
        <v>8000</v>
      </c>
      <c r="L55" s="25"/>
      <c r="M55" s="25">
        <f t="shared" si="25"/>
        <v>8000</v>
      </c>
      <c r="N55" s="25">
        <f t="shared" si="25"/>
        <v>-4000</v>
      </c>
      <c r="O55" s="25"/>
      <c r="P55" s="133">
        <f aca="true" t="shared" si="26" ref="P55:U55">SUM(P53)</f>
        <v>4000</v>
      </c>
      <c r="Q55" s="163">
        <f t="shared" si="26"/>
        <v>0</v>
      </c>
      <c r="R55" s="163">
        <f t="shared" si="26"/>
        <v>0</v>
      </c>
      <c r="S55" s="145">
        <f t="shared" si="26"/>
        <v>0</v>
      </c>
      <c r="T55" s="135">
        <f t="shared" si="26"/>
        <v>0</v>
      </c>
      <c r="U55" s="135">
        <f t="shared" si="26"/>
        <v>0</v>
      </c>
    </row>
    <row r="56" spans="1:21" s="7" customFormat="1" ht="11.25">
      <c r="A56" s="8"/>
      <c r="B56" s="9"/>
      <c r="C56" s="10"/>
      <c r="D56" s="18" t="s">
        <v>15</v>
      </c>
      <c r="E56" s="19">
        <f aca="true" t="shared" si="27" ref="E56:N56">E54-E55</f>
        <v>0</v>
      </c>
      <c r="F56" s="20">
        <f t="shared" si="27"/>
        <v>-30000</v>
      </c>
      <c r="G56" s="58">
        <f t="shared" si="27"/>
        <v>-30000</v>
      </c>
      <c r="H56" s="62">
        <f t="shared" si="27"/>
        <v>0</v>
      </c>
      <c r="I56" s="20">
        <f t="shared" si="27"/>
        <v>0</v>
      </c>
      <c r="J56" s="63">
        <f t="shared" si="27"/>
        <v>0</v>
      </c>
      <c r="K56" s="21">
        <f t="shared" si="27"/>
        <v>-8000</v>
      </c>
      <c r="L56" s="25"/>
      <c r="M56" s="25">
        <f t="shared" si="27"/>
        <v>-8000</v>
      </c>
      <c r="N56" s="25">
        <f t="shared" si="27"/>
        <v>4000</v>
      </c>
      <c r="O56" s="25"/>
      <c r="P56" s="133">
        <f aca="true" t="shared" si="28" ref="P56:U56">P54-P55</f>
        <v>-4000</v>
      </c>
      <c r="Q56" s="163">
        <f t="shared" si="28"/>
        <v>0</v>
      </c>
      <c r="R56" s="163">
        <f t="shared" si="28"/>
        <v>0</v>
      </c>
      <c r="S56" s="145">
        <f t="shared" si="28"/>
        <v>0</v>
      </c>
      <c r="T56" s="135">
        <f t="shared" si="28"/>
        <v>0</v>
      </c>
      <c r="U56" s="135">
        <f t="shared" si="28"/>
        <v>0</v>
      </c>
    </row>
    <row r="57" spans="1:21" s="7" customFormat="1" ht="13.5" customHeight="1">
      <c r="A57" s="99" t="s">
        <v>35</v>
      </c>
      <c r="B57" s="9"/>
      <c r="C57" s="10"/>
      <c r="D57" s="15" t="s">
        <v>36</v>
      </c>
      <c r="E57" s="19"/>
      <c r="F57" s="20"/>
      <c r="G57" s="58"/>
      <c r="H57" s="62"/>
      <c r="I57" s="20"/>
      <c r="J57" s="63"/>
      <c r="K57" s="21"/>
      <c r="L57" s="25"/>
      <c r="M57" s="24"/>
      <c r="N57" s="118"/>
      <c r="O57" s="118"/>
      <c r="P57" s="133"/>
      <c r="Q57" s="161"/>
      <c r="R57" s="161"/>
      <c r="S57" s="143"/>
      <c r="T57" s="131"/>
      <c r="U57" s="131"/>
    </row>
    <row r="58" spans="1:21" s="7" customFormat="1" ht="11.25" customHeight="1">
      <c r="A58" s="8" t="s">
        <v>37</v>
      </c>
      <c r="B58" s="9"/>
      <c r="C58" s="10" t="s">
        <v>38</v>
      </c>
      <c r="D58" s="11" t="s">
        <v>39</v>
      </c>
      <c r="E58" s="16">
        <v>6800</v>
      </c>
      <c r="F58" s="17"/>
      <c r="G58" s="23">
        <f>SUM(E58:F58)</f>
        <v>6800</v>
      </c>
      <c r="H58" s="61">
        <v>6600</v>
      </c>
      <c r="I58" s="17"/>
      <c r="J58" s="70">
        <f>SUM(H58:I58)</f>
        <v>6600</v>
      </c>
      <c r="K58" s="14">
        <v>6300</v>
      </c>
      <c r="L58" s="24"/>
      <c r="M58" s="24">
        <f>K58</f>
        <v>6300</v>
      </c>
      <c r="N58" s="118"/>
      <c r="O58" s="118"/>
      <c r="P58" s="134">
        <f>M58+N58</f>
        <v>6300</v>
      </c>
      <c r="Q58" s="162">
        <v>6300</v>
      </c>
      <c r="R58" s="149">
        <v>6100</v>
      </c>
      <c r="S58" s="149">
        <v>6100</v>
      </c>
      <c r="T58" s="149">
        <v>6100</v>
      </c>
      <c r="U58" s="149">
        <v>6100</v>
      </c>
    </row>
    <row r="59" spans="1:21" s="7" customFormat="1" ht="11.25" customHeight="1">
      <c r="A59" s="8" t="s">
        <v>37</v>
      </c>
      <c r="B59" s="9"/>
      <c r="C59" s="10" t="s">
        <v>40</v>
      </c>
      <c r="D59" s="11" t="s">
        <v>41</v>
      </c>
      <c r="E59" s="16">
        <v>6800</v>
      </c>
      <c r="F59" s="17"/>
      <c r="G59" s="23">
        <f>SUM(E59:F59)</f>
        <v>6800</v>
      </c>
      <c r="H59" s="61">
        <v>6600</v>
      </c>
      <c r="I59" s="17"/>
      <c r="J59" s="70">
        <f>SUM(H59:I59)</f>
        <v>6600</v>
      </c>
      <c r="K59" s="14">
        <v>6300</v>
      </c>
      <c r="L59" s="24"/>
      <c r="M59" s="24">
        <f>K59</f>
        <v>6300</v>
      </c>
      <c r="N59" s="118"/>
      <c r="O59" s="118"/>
      <c r="P59" s="134">
        <f>M59+N59</f>
        <v>6300</v>
      </c>
      <c r="Q59" s="161">
        <v>6300</v>
      </c>
      <c r="R59" s="149">
        <v>6100</v>
      </c>
      <c r="S59" s="149">
        <v>6100</v>
      </c>
      <c r="T59" s="149">
        <v>6100</v>
      </c>
      <c r="U59" s="149">
        <v>6100</v>
      </c>
    </row>
    <row r="60" spans="1:21" s="7" customFormat="1" ht="11.25" customHeight="1">
      <c r="A60" s="8" t="s">
        <v>37</v>
      </c>
      <c r="B60" s="9"/>
      <c r="C60" s="10" t="s">
        <v>8</v>
      </c>
      <c r="D60" s="11" t="s">
        <v>9</v>
      </c>
      <c r="E60" s="16">
        <v>0</v>
      </c>
      <c r="F60" s="17"/>
      <c r="G60" s="23">
        <f>SUM(E60:F60)</f>
        <v>0</v>
      </c>
      <c r="H60" s="61">
        <v>600</v>
      </c>
      <c r="I60" s="17"/>
      <c r="J60" s="70">
        <f>SUM(H60:I60)</f>
        <v>600</v>
      </c>
      <c r="K60" s="14">
        <v>500</v>
      </c>
      <c r="L60" s="24"/>
      <c r="M60" s="24">
        <f>K60</f>
        <v>500</v>
      </c>
      <c r="N60" s="118"/>
      <c r="O60" s="118"/>
      <c r="P60" s="134">
        <f>M60+N60</f>
        <v>500</v>
      </c>
      <c r="Q60" s="161">
        <v>500</v>
      </c>
      <c r="R60" s="161">
        <v>500</v>
      </c>
      <c r="S60" s="143">
        <v>500</v>
      </c>
      <c r="T60" s="131">
        <v>500</v>
      </c>
      <c r="U60" s="131">
        <v>0</v>
      </c>
    </row>
    <row r="61" spans="1:21" s="7" customFormat="1" ht="11.25" customHeight="1">
      <c r="A61" s="8">
        <v>352</v>
      </c>
      <c r="B61" s="9"/>
      <c r="C61" s="10">
        <v>9351</v>
      </c>
      <c r="D61" s="11" t="s">
        <v>11</v>
      </c>
      <c r="E61" s="16">
        <v>1800</v>
      </c>
      <c r="F61" s="17"/>
      <c r="G61" s="23">
        <f>SUM(E61:F61)</f>
        <v>1800</v>
      </c>
      <c r="H61" s="61">
        <v>1800</v>
      </c>
      <c r="I61" s="17"/>
      <c r="J61" s="70">
        <f>SUM(H61:I61)</f>
        <v>1800</v>
      </c>
      <c r="K61" s="14">
        <v>1800</v>
      </c>
      <c r="L61" s="24"/>
      <c r="M61" s="24">
        <f>K61</f>
        <v>1800</v>
      </c>
      <c r="N61" s="118"/>
      <c r="O61" s="118"/>
      <c r="P61" s="134">
        <f>M61+N61</f>
        <v>1800</v>
      </c>
      <c r="Q61" s="161">
        <v>1800</v>
      </c>
      <c r="R61" s="149">
        <v>1500</v>
      </c>
      <c r="S61" s="162">
        <v>1500</v>
      </c>
      <c r="T61" s="162">
        <v>1500</v>
      </c>
      <c r="U61" s="162">
        <v>1500</v>
      </c>
    </row>
    <row r="62" spans="1:21" s="7" customFormat="1" ht="11.25" customHeight="1">
      <c r="A62" s="8" t="s">
        <v>37</v>
      </c>
      <c r="B62" s="9"/>
      <c r="C62" s="10" t="s">
        <v>42</v>
      </c>
      <c r="D62" s="11" t="s">
        <v>43</v>
      </c>
      <c r="E62" s="16">
        <v>27200</v>
      </c>
      <c r="F62" s="17"/>
      <c r="G62" s="23">
        <f>SUM(E62:F62)</f>
        <v>27200</v>
      </c>
      <c r="H62" s="61">
        <v>26200</v>
      </c>
      <c r="I62" s="17"/>
      <c r="J62" s="70">
        <f>SUM(H62:I62)</f>
        <v>26200</v>
      </c>
      <c r="K62" s="14">
        <v>25600</v>
      </c>
      <c r="L62" s="24"/>
      <c r="M62" s="24">
        <f>K62</f>
        <v>25600</v>
      </c>
      <c r="N62" s="118"/>
      <c r="O62" s="118"/>
      <c r="P62" s="134">
        <f>M62+N62</f>
        <v>25600</v>
      </c>
      <c r="Q62" s="162">
        <v>25600</v>
      </c>
      <c r="R62" s="149">
        <v>24500</v>
      </c>
      <c r="S62" s="144">
        <v>24500</v>
      </c>
      <c r="T62" s="132">
        <v>24500</v>
      </c>
      <c r="U62" s="132">
        <v>24500</v>
      </c>
    </row>
    <row r="63" spans="1:21" s="191" customFormat="1" ht="11.25" customHeight="1">
      <c r="A63" s="176" t="s">
        <v>37</v>
      </c>
      <c r="B63" s="177"/>
      <c r="C63" s="178">
        <v>9400</v>
      </c>
      <c r="D63" s="179" t="s">
        <v>194</v>
      </c>
      <c r="E63" s="180"/>
      <c r="F63" s="181"/>
      <c r="G63" s="182"/>
      <c r="H63" s="183"/>
      <c r="I63" s="181"/>
      <c r="J63" s="184"/>
      <c r="K63" s="185"/>
      <c r="L63" s="186"/>
      <c r="M63" s="186"/>
      <c r="N63" s="194"/>
      <c r="O63" s="194"/>
      <c r="P63" s="187"/>
      <c r="Q63" s="188"/>
      <c r="R63" s="188">
        <v>5000</v>
      </c>
      <c r="S63" s="196">
        <v>30000</v>
      </c>
      <c r="T63" s="197"/>
      <c r="U63" s="197"/>
    </row>
    <row r="64" spans="1:21" s="7" customFormat="1" ht="11.25">
      <c r="A64" s="8"/>
      <c r="B64" s="9"/>
      <c r="C64" s="10"/>
      <c r="D64" s="18" t="s">
        <v>13</v>
      </c>
      <c r="E64" s="19" t="e">
        <f>SUM(E58:E59)+#REF!</f>
        <v>#REF!</v>
      </c>
      <c r="F64" s="20" t="e">
        <f>SUM(F58:F59)+#REF!</f>
        <v>#REF!</v>
      </c>
      <c r="G64" s="58" t="e">
        <f>SUM(G58:G59)+#REF!</f>
        <v>#REF!</v>
      </c>
      <c r="H64" s="62">
        <f aca="true" t="shared" si="29" ref="H64:M64">SUM(H58:H59)</f>
        <v>13200</v>
      </c>
      <c r="I64" s="20">
        <f t="shared" si="29"/>
        <v>0</v>
      </c>
      <c r="J64" s="63">
        <f t="shared" si="29"/>
        <v>13200</v>
      </c>
      <c r="K64" s="21">
        <f t="shared" si="29"/>
        <v>12600</v>
      </c>
      <c r="L64" s="25"/>
      <c r="M64" s="25">
        <f t="shared" si="29"/>
        <v>12600</v>
      </c>
      <c r="N64" s="118"/>
      <c r="O64" s="118"/>
      <c r="P64" s="133">
        <f aca="true" t="shared" si="30" ref="P64:U64">SUM(P58:P59)</f>
        <v>12600</v>
      </c>
      <c r="Q64" s="163">
        <f t="shared" si="30"/>
        <v>12600</v>
      </c>
      <c r="R64" s="163">
        <f t="shared" si="30"/>
        <v>12200</v>
      </c>
      <c r="S64" s="145">
        <f t="shared" si="30"/>
        <v>12200</v>
      </c>
      <c r="T64" s="135">
        <f t="shared" si="30"/>
        <v>12200</v>
      </c>
      <c r="U64" s="135">
        <f t="shared" si="30"/>
        <v>12200</v>
      </c>
    </row>
    <row r="65" spans="1:21" s="7" customFormat="1" ht="11.25">
      <c r="A65" s="8"/>
      <c r="B65" s="9"/>
      <c r="C65" s="10"/>
      <c r="D65" s="18" t="s">
        <v>14</v>
      </c>
      <c r="E65" s="19">
        <f aca="true" t="shared" si="31" ref="E65:M65">SUM(E60:E62)</f>
        <v>29000</v>
      </c>
      <c r="F65" s="20">
        <f t="shared" si="31"/>
        <v>0</v>
      </c>
      <c r="G65" s="58">
        <f t="shared" si="31"/>
        <v>29000</v>
      </c>
      <c r="H65" s="62">
        <f t="shared" si="31"/>
        <v>28600</v>
      </c>
      <c r="I65" s="20">
        <f t="shared" si="31"/>
        <v>0</v>
      </c>
      <c r="J65" s="63">
        <f t="shared" si="31"/>
        <v>28600</v>
      </c>
      <c r="K65" s="21">
        <f t="shared" si="31"/>
        <v>27900</v>
      </c>
      <c r="L65" s="25"/>
      <c r="M65" s="25">
        <f t="shared" si="31"/>
        <v>27900</v>
      </c>
      <c r="N65" s="118"/>
      <c r="O65" s="118"/>
      <c r="P65" s="133">
        <f>SUM(P60:P62)</f>
        <v>27900</v>
      </c>
      <c r="Q65" s="163">
        <f>SUM(Q60:Q62)</f>
        <v>27900</v>
      </c>
      <c r="R65" s="163">
        <f>SUM(R60:R63)</f>
        <v>31500</v>
      </c>
      <c r="S65" s="145">
        <f>SUM(S60:S63)</f>
        <v>56500</v>
      </c>
      <c r="T65" s="135">
        <f>SUM(T60:T62)</f>
        <v>26500</v>
      </c>
      <c r="U65" s="135">
        <f>SUM(U60:U62)</f>
        <v>26000</v>
      </c>
    </row>
    <row r="66" spans="1:21" s="7" customFormat="1" ht="13.5" customHeight="1">
      <c r="A66" s="8"/>
      <c r="B66" s="9"/>
      <c r="C66" s="10"/>
      <c r="D66" s="18" t="s">
        <v>15</v>
      </c>
      <c r="E66" s="19" t="e">
        <f aca="true" t="shared" si="32" ref="E66:M66">E64-E65</f>
        <v>#REF!</v>
      </c>
      <c r="F66" s="20" t="e">
        <f t="shared" si="32"/>
        <v>#REF!</v>
      </c>
      <c r="G66" s="58" t="e">
        <f t="shared" si="32"/>
        <v>#REF!</v>
      </c>
      <c r="H66" s="62">
        <f t="shared" si="32"/>
        <v>-15400</v>
      </c>
      <c r="I66" s="20">
        <f>I64-I65</f>
        <v>0</v>
      </c>
      <c r="J66" s="63">
        <f>J64-J65</f>
        <v>-15400</v>
      </c>
      <c r="K66" s="21">
        <f t="shared" si="32"/>
        <v>-15300</v>
      </c>
      <c r="L66" s="25"/>
      <c r="M66" s="25">
        <f t="shared" si="32"/>
        <v>-15300</v>
      </c>
      <c r="N66" s="118"/>
      <c r="O66" s="118"/>
      <c r="P66" s="133">
        <f aca="true" t="shared" si="33" ref="P66:U66">P64-P65</f>
        <v>-15300</v>
      </c>
      <c r="Q66" s="163">
        <f t="shared" si="33"/>
        <v>-15300</v>
      </c>
      <c r="R66" s="163">
        <f t="shared" si="33"/>
        <v>-19300</v>
      </c>
      <c r="S66" s="145">
        <f t="shared" si="33"/>
        <v>-44300</v>
      </c>
      <c r="T66" s="135">
        <f t="shared" si="33"/>
        <v>-14300</v>
      </c>
      <c r="U66" s="135">
        <f t="shared" si="33"/>
        <v>-13800</v>
      </c>
    </row>
    <row r="67" spans="1:21" s="7" customFormat="1" ht="13.5" customHeight="1">
      <c r="A67" s="99" t="s">
        <v>162</v>
      </c>
      <c r="B67" s="9"/>
      <c r="C67" s="10"/>
      <c r="D67" s="15" t="s">
        <v>163</v>
      </c>
      <c r="E67" s="19"/>
      <c r="F67" s="20"/>
      <c r="G67" s="58"/>
      <c r="H67" s="62"/>
      <c r="I67" s="20"/>
      <c r="J67" s="63"/>
      <c r="K67" s="21"/>
      <c r="L67" s="25"/>
      <c r="M67" s="25"/>
      <c r="N67" s="118"/>
      <c r="O67" s="118"/>
      <c r="P67" s="133"/>
      <c r="Q67" s="161"/>
      <c r="R67" s="161"/>
      <c r="S67" s="143"/>
      <c r="T67" s="131"/>
      <c r="U67" s="131"/>
    </row>
    <row r="68" spans="1:21" s="191" customFormat="1" ht="13.5" customHeight="1">
      <c r="A68" s="176">
        <v>4361</v>
      </c>
      <c r="B68" s="177">
        <v>1</v>
      </c>
      <c r="C68" s="178">
        <v>9400</v>
      </c>
      <c r="D68" s="179" t="s">
        <v>180</v>
      </c>
      <c r="E68" s="198"/>
      <c r="F68" s="199"/>
      <c r="G68" s="200"/>
      <c r="H68" s="201"/>
      <c r="I68" s="199"/>
      <c r="J68" s="202"/>
      <c r="K68" s="203"/>
      <c r="L68" s="204"/>
      <c r="M68" s="204"/>
      <c r="N68" s="186">
        <v>215000</v>
      </c>
      <c r="O68" s="186"/>
      <c r="P68" s="187">
        <f>M68+N68</f>
        <v>215000</v>
      </c>
      <c r="Q68" s="195"/>
      <c r="R68" s="188">
        <v>40000</v>
      </c>
      <c r="S68" s="189"/>
      <c r="T68" s="190"/>
      <c r="U68" s="190"/>
    </row>
    <row r="69" spans="1:21" s="7" customFormat="1" ht="13.5" customHeight="1">
      <c r="A69" s="8"/>
      <c r="B69" s="9"/>
      <c r="C69" s="10"/>
      <c r="D69" s="11" t="s">
        <v>181</v>
      </c>
      <c r="E69" s="19"/>
      <c r="F69" s="20"/>
      <c r="G69" s="58"/>
      <c r="H69" s="62"/>
      <c r="I69" s="20"/>
      <c r="J69" s="63"/>
      <c r="K69" s="21"/>
      <c r="L69" s="25"/>
      <c r="M69" s="25"/>
      <c r="N69" s="24">
        <v>53300</v>
      </c>
      <c r="O69" s="24"/>
      <c r="P69" s="134">
        <f>M69+N69</f>
        <v>53300</v>
      </c>
      <c r="Q69" s="161"/>
      <c r="R69" s="161"/>
      <c r="S69" s="143"/>
      <c r="T69" s="131"/>
      <c r="U69" s="131"/>
    </row>
    <row r="70" spans="1:21" s="7" customFormat="1" ht="13.5" customHeight="1">
      <c r="A70" s="8"/>
      <c r="B70" s="9"/>
      <c r="C70" s="10"/>
      <c r="D70" s="11" t="s">
        <v>179</v>
      </c>
      <c r="E70" s="19"/>
      <c r="F70" s="20"/>
      <c r="G70" s="58"/>
      <c r="H70" s="62"/>
      <c r="I70" s="20"/>
      <c r="J70" s="63"/>
      <c r="K70" s="21"/>
      <c r="L70" s="25"/>
      <c r="M70" s="25"/>
      <c r="N70" s="24">
        <v>50000</v>
      </c>
      <c r="O70" s="24"/>
      <c r="P70" s="134">
        <f>M70+N70</f>
        <v>50000</v>
      </c>
      <c r="Q70" s="161"/>
      <c r="R70" s="161"/>
      <c r="S70" s="143"/>
      <c r="T70" s="131"/>
      <c r="U70" s="131"/>
    </row>
    <row r="71" spans="1:21" s="7" customFormat="1" ht="13.5" customHeight="1">
      <c r="A71" s="8"/>
      <c r="B71" s="9"/>
      <c r="C71" s="10"/>
      <c r="D71" s="18" t="s">
        <v>13</v>
      </c>
      <c r="E71" s="19" t="e">
        <f>SUM(E64:E65)+#REF!</f>
        <v>#REF!</v>
      </c>
      <c r="F71" s="20" t="e">
        <f>SUM(F64:F65)+#REF!</f>
        <v>#REF!</v>
      </c>
      <c r="G71" s="58" t="e">
        <f>SUM(G64:G65)+#REF!</f>
        <v>#REF!</v>
      </c>
      <c r="H71" s="62">
        <f>SUM(H64:H65)</f>
        <v>41800</v>
      </c>
      <c r="I71" s="20">
        <f>SUM(I64:I65)</f>
        <v>0</v>
      </c>
      <c r="J71" s="63">
        <f>SUM(J64:J65)</f>
        <v>41800</v>
      </c>
      <c r="K71" s="21"/>
      <c r="L71" s="25"/>
      <c r="M71" s="25"/>
      <c r="N71" s="133">
        <f>N70</f>
        <v>50000</v>
      </c>
      <c r="O71" s="133"/>
      <c r="P71" s="133">
        <f>P70</f>
        <v>50000</v>
      </c>
      <c r="Q71" s="163">
        <v>0</v>
      </c>
      <c r="R71" s="163">
        <v>0</v>
      </c>
      <c r="S71" s="145">
        <v>0</v>
      </c>
      <c r="T71" s="135">
        <v>0</v>
      </c>
      <c r="U71" s="135">
        <v>0</v>
      </c>
    </row>
    <row r="72" spans="1:21" s="7" customFormat="1" ht="13.5" customHeight="1">
      <c r="A72" s="8"/>
      <c r="B72" s="9"/>
      <c r="C72" s="10"/>
      <c r="D72" s="18" t="s">
        <v>14</v>
      </c>
      <c r="E72" s="19" t="e">
        <f aca="true" t="shared" si="34" ref="E72:J72">SUM(E66:E68)</f>
        <v>#REF!</v>
      </c>
      <c r="F72" s="20" t="e">
        <f t="shared" si="34"/>
        <v>#REF!</v>
      </c>
      <c r="G72" s="58" t="e">
        <f t="shared" si="34"/>
        <v>#REF!</v>
      </c>
      <c r="H72" s="62">
        <f t="shared" si="34"/>
        <v>-15400</v>
      </c>
      <c r="I72" s="20">
        <f t="shared" si="34"/>
        <v>0</v>
      </c>
      <c r="J72" s="63">
        <f t="shared" si="34"/>
        <v>-15400</v>
      </c>
      <c r="K72" s="21"/>
      <c r="L72" s="25"/>
      <c r="M72" s="25"/>
      <c r="N72" s="133">
        <f>SUM(N68:N69)</f>
        <v>268300</v>
      </c>
      <c r="O72" s="133"/>
      <c r="P72" s="133">
        <f>SUM(P68:P69)</f>
        <v>268300</v>
      </c>
      <c r="Q72" s="163">
        <f>SUM(Q68)</f>
        <v>0</v>
      </c>
      <c r="R72" s="163">
        <f>SUM(R68)</f>
        <v>40000</v>
      </c>
      <c r="S72" s="145">
        <f>SUM(S68)</f>
        <v>0</v>
      </c>
      <c r="T72" s="135">
        <f>SUM(T68)</f>
        <v>0</v>
      </c>
      <c r="U72" s="135">
        <f>SUM(U68)</f>
        <v>0</v>
      </c>
    </row>
    <row r="73" spans="1:21" s="7" customFormat="1" ht="13.5" customHeight="1">
      <c r="A73" s="8"/>
      <c r="B73" s="9"/>
      <c r="C73" s="10"/>
      <c r="D73" s="18" t="s">
        <v>15</v>
      </c>
      <c r="E73" s="19" t="e">
        <f aca="true" t="shared" si="35" ref="E73:J73">E71-E72</f>
        <v>#REF!</v>
      </c>
      <c r="F73" s="20" t="e">
        <f t="shared" si="35"/>
        <v>#REF!</v>
      </c>
      <c r="G73" s="58" t="e">
        <f t="shared" si="35"/>
        <v>#REF!</v>
      </c>
      <c r="H73" s="62">
        <f t="shared" si="35"/>
        <v>57200</v>
      </c>
      <c r="I73" s="20">
        <f t="shared" si="35"/>
        <v>0</v>
      </c>
      <c r="J73" s="63">
        <f t="shared" si="35"/>
        <v>57200</v>
      </c>
      <c r="K73" s="21"/>
      <c r="L73" s="25"/>
      <c r="M73" s="25"/>
      <c r="N73" s="133">
        <f aca="true" t="shared" si="36" ref="N73:U73">N71-N72</f>
        <v>-218300</v>
      </c>
      <c r="O73" s="133"/>
      <c r="P73" s="133">
        <f t="shared" si="36"/>
        <v>-218300</v>
      </c>
      <c r="Q73" s="163">
        <f t="shared" si="36"/>
        <v>0</v>
      </c>
      <c r="R73" s="163">
        <f t="shared" si="36"/>
        <v>-40000</v>
      </c>
      <c r="S73" s="145">
        <f t="shared" si="36"/>
        <v>0</v>
      </c>
      <c r="T73" s="135">
        <f t="shared" si="36"/>
        <v>0</v>
      </c>
      <c r="U73" s="135">
        <f t="shared" si="36"/>
        <v>0</v>
      </c>
    </row>
    <row r="74" spans="1:21" s="7" customFormat="1" ht="13.5" customHeight="1">
      <c r="A74" s="99" t="s">
        <v>200</v>
      </c>
      <c r="B74" s="9"/>
      <c r="C74" s="10"/>
      <c r="D74" s="15" t="s">
        <v>201</v>
      </c>
      <c r="E74" s="19"/>
      <c r="F74" s="20"/>
      <c r="G74" s="58"/>
      <c r="H74" s="62"/>
      <c r="I74" s="20"/>
      <c r="J74" s="63"/>
      <c r="K74" s="21"/>
      <c r="L74" s="25"/>
      <c r="M74" s="24">
        <f aca="true" t="shared" si="37" ref="M74:M79">K74</f>
        <v>0</v>
      </c>
      <c r="N74" s="118"/>
      <c r="O74" s="118"/>
      <c r="P74" s="133"/>
      <c r="Q74" s="161">
        <v>0</v>
      </c>
      <c r="R74" s="161">
        <v>0</v>
      </c>
      <c r="S74" s="143">
        <v>0</v>
      </c>
      <c r="T74" s="131">
        <v>0</v>
      </c>
      <c r="U74" s="131">
        <v>0</v>
      </c>
    </row>
    <row r="75" spans="1:21" s="191" customFormat="1" ht="11.25" customHeight="1">
      <c r="A75" s="176">
        <v>4515</v>
      </c>
      <c r="B75" s="177" t="s">
        <v>27</v>
      </c>
      <c r="C75" s="178">
        <v>9350</v>
      </c>
      <c r="D75" s="179" t="s">
        <v>202</v>
      </c>
      <c r="E75" s="205">
        <v>0</v>
      </c>
      <c r="F75" s="206">
        <v>0</v>
      </c>
      <c r="G75" s="207">
        <v>0</v>
      </c>
      <c r="H75" s="208">
        <v>0</v>
      </c>
      <c r="I75" s="206"/>
      <c r="J75" s="184">
        <f>SUM(H75:I75)</f>
        <v>0</v>
      </c>
      <c r="K75" s="209">
        <v>0</v>
      </c>
      <c r="L75" s="210"/>
      <c r="M75" s="186">
        <f t="shared" si="37"/>
        <v>0</v>
      </c>
      <c r="N75" s="194"/>
      <c r="O75" s="194"/>
      <c r="P75" s="211">
        <v>0</v>
      </c>
      <c r="Q75" s="195"/>
      <c r="R75" s="188">
        <v>15000</v>
      </c>
      <c r="S75" s="189"/>
      <c r="T75" s="190"/>
      <c r="U75" s="190"/>
    </row>
    <row r="76" spans="1:21" s="7" customFormat="1" ht="11.25" customHeight="1">
      <c r="A76" s="8">
        <v>4601</v>
      </c>
      <c r="B76" s="9" t="s">
        <v>27</v>
      </c>
      <c r="C76" s="10" t="s">
        <v>12</v>
      </c>
      <c r="D76" s="11" t="s">
        <v>44</v>
      </c>
      <c r="E76" s="12"/>
      <c r="F76" s="13"/>
      <c r="G76" s="57">
        <v>0</v>
      </c>
      <c r="H76" s="64">
        <v>0</v>
      </c>
      <c r="I76" s="13"/>
      <c r="J76" s="70">
        <f>SUM(H76:I76)</f>
        <v>0</v>
      </c>
      <c r="K76" s="26">
        <v>0</v>
      </c>
      <c r="L76" s="113"/>
      <c r="M76" s="24">
        <f t="shared" si="37"/>
        <v>0</v>
      </c>
      <c r="N76" s="118"/>
      <c r="O76" s="118"/>
      <c r="P76" s="151">
        <v>0</v>
      </c>
      <c r="Q76" s="162">
        <v>0</v>
      </c>
      <c r="R76" s="162">
        <v>0</v>
      </c>
      <c r="S76" s="144">
        <v>0</v>
      </c>
      <c r="T76" s="132">
        <v>0</v>
      </c>
      <c r="U76" s="132">
        <v>0</v>
      </c>
    </row>
    <row r="77" spans="1:21" s="7" customFormat="1" ht="11.25" customHeight="1">
      <c r="A77" s="8"/>
      <c r="B77" s="9"/>
      <c r="C77" s="10"/>
      <c r="D77" s="18" t="s">
        <v>13</v>
      </c>
      <c r="E77" s="19">
        <f aca="true" t="shared" si="38" ref="E77:K77">SUM(0)</f>
        <v>0</v>
      </c>
      <c r="F77" s="20">
        <f t="shared" si="38"/>
        <v>0</v>
      </c>
      <c r="G77" s="58">
        <f t="shared" si="38"/>
        <v>0</v>
      </c>
      <c r="H77" s="62">
        <f t="shared" si="38"/>
        <v>0</v>
      </c>
      <c r="I77" s="20">
        <f t="shared" si="38"/>
        <v>0</v>
      </c>
      <c r="J77" s="63">
        <f t="shared" si="38"/>
        <v>0</v>
      </c>
      <c r="K77" s="21">
        <f t="shared" si="38"/>
        <v>0</v>
      </c>
      <c r="L77" s="25"/>
      <c r="M77" s="24">
        <f t="shared" si="37"/>
        <v>0</v>
      </c>
      <c r="N77" s="118"/>
      <c r="O77" s="118"/>
      <c r="P77" s="133">
        <f>SUM(0)</f>
        <v>0</v>
      </c>
      <c r="Q77" s="162">
        <v>0</v>
      </c>
      <c r="R77" s="162">
        <v>0</v>
      </c>
      <c r="S77" s="144">
        <v>0</v>
      </c>
      <c r="T77" s="132">
        <v>0</v>
      </c>
      <c r="U77" s="132">
        <v>0</v>
      </c>
    </row>
    <row r="78" spans="1:21" s="7" customFormat="1" ht="11.25" customHeight="1">
      <c r="A78" s="8"/>
      <c r="B78" s="9"/>
      <c r="C78" s="10"/>
      <c r="D78" s="18" t="s">
        <v>14</v>
      </c>
      <c r="E78" s="19">
        <f>E75</f>
        <v>0</v>
      </c>
      <c r="F78" s="20">
        <f>F75</f>
        <v>0</v>
      </c>
      <c r="G78" s="58">
        <f>SUM(G75:G76)</f>
        <v>0</v>
      </c>
      <c r="H78" s="62">
        <f>SUM(H75:H76)</f>
        <v>0</v>
      </c>
      <c r="I78" s="20">
        <f>SUM(I75:I76)</f>
        <v>0</v>
      </c>
      <c r="J78" s="63">
        <f>SUM(J75:J76)</f>
        <v>0</v>
      </c>
      <c r="K78" s="21">
        <f>SUM(K75:K76)</f>
        <v>0</v>
      </c>
      <c r="L78" s="25"/>
      <c r="M78" s="24">
        <f t="shared" si="37"/>
        <v>0</v>
      </c>
      <c r="N78" s="118"/>
      <c r="O78" s="118"/>
      <c r="P78" s="133">
        <f>SUM(P75:P76)</f>
        <v>0</v>
      </c>
      <c r="Q78" s="163">
        <v>0</v>
      </c>
      <c r="R78" s="163">
        <f>R75</f>
        <v>15000</v>
      </c>
      <c r="S78" s="143">
        <v>0</v>
      </c>
      <c r="T78" s="131">
        <v>0</v>
      </c>
      <c r="U78" s="131">
        <v>0</v>
      </c>
    </row>
    <row r="79" spans="1:21" s="7" customFormat="1" ht="11.25" customHeight="1">
      <c r="A79" s="8"/>
      <c r="B79" s="9"/>
      <c r="C79" s="10"/>
      <c r="D79" s="18" t="s">
        <v>15</v>
      </c>
      <c r="E79" s="19">
        <f aca="true" t="shared" si="39" ref="E79:K79">E77-E78</f>
        <v>0</v>
      </c>
      <c r="F79" s="20">
        <f t="shared" si="39"/>
        <v>0</v>
      </c>
      <c r="G79" s="58">
        <f t="shared" si="39"/>
        <v>0</v>
      </c>
      <c r="H79" s="62">
        <f t="shared" si="39"/>
        <v>0</v>
      </c>
      <c r="I79" s="20">
        <f>I77-I78</f>
        <v>0</v>
      </c>
      <c r="J79" s="63">
        <f>J77-J78</f>
        <v>0</v>
      </c>
      <c r="K79" s="21">
        <f t="shared" si="39"/>
        <v>0</v>
      </c>
      <c r="L79" s="25"/>
      <c r="M79" s="24">
        <f t="shared" si="37"/>
        <v>0</v>
      </c>
      <c r="N79" s="118"/>
      <c r="O79" s="118"/>
      <c r="P79" s="133">
        <f>P77-P78</f>
        <v>0</v>
      </c>
      <c r="Q79" s="163">
        <v>0</v>
      </c>
      <c r="R79" s="163">
        <f>R77-R78</f>
        <v>-15000</v>
      </c>
      <c r="S79" s="144">
        <v>0</v>
      </c>
      <c r="T79" s="132">
        <v>0</v>
      </c>
      <c r="U79" s="132">
        <v>0</v>
      </c>
    </row>
    <row r="80" spans="1:21" s="7" customFormat="1" ht="13.5" customHeight="1">
      <c r="A80" s="99" t="s">
        <v>45</v>
      </c>
      <c r="B80" s="9"/>
      <c r="C80" s="10"/>
      <c r="D80" s="15" t="s">
        <v>46</v>
      </c>
      <c r="E80" s="19"/>
      <c r="F80" s="20"/>
      <c r="G80" s="58"/>
      <c r="H80" s="62"/>
      <c r="I80" s="20"/>
      <c r="J80" s="63"/>
      <c r="K80" s="21"/>
      <c r="L80" s="25"/>
      <c r="M80" s="24"/>
      <c r="N80" s="118"/>
      <c r="O80" s="118"/>
      <c r="P80" s="133"/>
      <c r="Q80" s="161"/>
      <c r="R80" s="161"/>
      <c r="S80" s="143"/>
      <c r="T80" s="131"/>
      <c r="U80" s="131"/>
    </row>
    <row r="81" spans="1:21" s="7" customFormat="1" ht="11.25">
      <c r="A81" s="8">
        <v>4602</v>
      </c>
      <c r="B81" s="9">
        <v>5</v>
      </c>
      <c r="C81" s="10">
        <v>9400</v>
      </c>
      <c r="D81" s="11" t="s">
        <v>47</v>
      </c>
      <c r="E81" s="27">
        <v>0</v>
      </c>
      <c r="F81" s="28"/>
      <c r="G81" s="23">
        <f>SUM(E81:F81)</f>
        <v>0</v>
      </c>
      <c r="H81" s="61">
        <f>15000+26100</f>
        <v>41100</v>
      </c>
      <c r="I81" s="17">
        <v>3900</v>
      </c>
      <c r="J81" s="70">
        <f>SUM(H81:I81)</f>
        <v>45000</v>
      </c>
      <c r="K81" s="14">
        <v>57500</v>
      </c>
      <c r="L81" s="24"/>
      <c r="M81" s="24">
        <f>K81</f>
        <v>57500</v>
      </c>
      <c r="N81" s="24"/>
      <c r="O81" s="24"/>
      <c r="P81" s="134">
        <f>M81+N81</f>
        <v>57500</v>
      </c>
      <c r="Q81" s="161"/>
      <c r="R81" s="161"/>
      <c r="S81" s="143"/>
      <c r="T81" s="131"/>
      <c r="U81" s="131"/>
    </row>
    <row r="82" spans="1:22" s="7" customFormat="1" ht="11.25">
      <c r="A82" s="8">
        <v>4602</v>
      </c>
      <c r="B82" s="9" t="s">
        <v>27</v>
      </c>
      <c r="C82" s="10" t="s">
        <v>12</v>
      </c>
      <c r="D82" s="11" t="s">
        <v>48</v>
      </c>
      <c r="E82" s="27">
        <v>0</v>
      </c>
      <c r="F82" s="28">
        <v>0</v>
      </c>
      <c r="G82" s="23">
        <v>0</v>
      </c>
      <c r="H82" s="61">
        <v>0</v>
      </c>
      <c r="I82" s="17"/>
      <c r="J82" s="70">
        <f>SUM(H82:I82)</f>
        <v>0</v>
      </c>
      <c r="K82" s="14">
        <v>120000</v>
      </c>
      <c r="L82" s="24">
        <v>120000</v>
      </c>
      <c r="M82" s="24">
        <v>0</v>
      </c>
      <c r="N82" s="24"/>
      <c r="O82" s="24"/>
      <c r="P82" s="134">
        <f>M82+N82</f>
        <v>0</v>
      </c>
      <c r="Q82" s="161"/>
      <c r="R82" s="162">
        <v>120000</v>
      </c>
      <c r="S82" s="161">
        <v>0</v>
      </c>
      <c r="T82" s="131"/>
      <c r="U82" s="131"/>
      <c r="V82" s="7" t="s">
        <v>189</v>
      </c>
    </row>
    <row r="83" spans="1:21" s="7" customFormat="1" ht="11.25">
      <c r="A83" s="8">
        <v>4602</v>
      </c>
      <c r="B83" s="9">
        <v>7</v>
      </c>
      <c r="C83" s="10" t="s">
        <v>12</v>
      </c>
      <c r="D83" s="11" t="s">
        <v>143</v>
      </c>
      <c r="E83" s="27"/>
      <c r="F83" s="28"/>
      <c r="G83" s="23"/>
      <c r="H83" s="61"/>
      <c r="I83" s="17"/>
      <c r="J83" s="70"/>
      <c r="K83" s="14">
        <v>40000</v>
      </c>
      <c r="L83" s="24"/>
      <c r="M83" s="24">
        <f>K83</f>
        <v>40000</v>
      </c>
      <c r="N83" s="24"/>
      <c r="O83" s="24"/>
      <c r="P83" s="134">
        <f>M83+N83</f>
        <v>40000</v>
      </c>
      <c r="Q83" s="161"/>
      <c r="R83" s="161"/>
      <c r="S83" s="144"/>
      <c r="T83" s="131"/>
      <c r="U83" s="131"/>
    </row>
    <row r="84" spans="1:22" s="7" customFormat="1" ht="11.25">
      <c r="A84" s="8">
        <v>4602</v>
      </c>
      <c r="B84" s="9">
        <v>8</v>
      </c>
      <c r="C84" s="10" t="s">
        <v>12</v>
      </c>
      <c r="D84" s="11" t="s">
        <v>144</v>
      </c>
      <c r="E84" s="27"/>
      <c r="F84" s="28"/>
      <c r="G84" s="23"/>
      <c r="H84" s="61"/>
      <c r="I84" s="17"/>
      <c r="J84" s="70"/>
      <c r="K84" s="14">
        <v>36000</v>
      </c>
      <c r="L84" s="24"/>
      <c r="M84" s="24">
        <f>K84</f>
        <v>36000</v>
      </c>
      <c r="N84" s="24">
        <v>-36000</v>
      </c>
      <c r="O84" s="24"/>
      <c r="P84" s="134">
        <f>M84+N84</f>
        <v>0</v>
      </c>
      <c r="Q84" s="161"/>
      <c r="R84" s="149">
        <v>36000</v>
      </c>
      <c r="S84" s="161">
        <v>0</v>
      </c>
      <c r="T84" s="131"/>
      <c r="U84" s="131"/>
      <c r="V84" s="7" t="s">
        <v>203</v>
      </c>
    </row>
    <row r="85" spans="1:21" s="7" customFormat="1" ht="11.25">
      <c r="A85" s="8">
        <v>4602</v>
      </c>
      <c r="B85" s="9">
        <v>9</v>
      </c>
      <c r="C85" s="10" t="s">
        <v>12</v>
      </c>
      <c r="D85" s="11" t="s">
        <v>145</v>
      </c>
      <c r="E85" s="27"/>
      <c r="F85" s="28"/>
      <c r="G85" s="23"/>
      <c r="H85" s="61"/>
      <c r="I85" s="17"/>
      <c r="J85" s="70"/>
      <c r="K85" s="14">
        <v>10000</v>
      </c>
      <c r="L85" s="24"/>
      <c r="M85" s="24">
        <f>K85</f>
        <v>10000</v>
      </c>
      <c r="N85" s="24"/>
      <c r="O85" s="24"/>
      <c r="P85" s="134">
        <f>M85+N85</f>
        <v>10000</v>
      </c>
      <c r="Q85" s="161">
        <v>0</v>
      </c>
      <c r="R85" s="161">
        <v>0</v>
      </c>
      <c r="S85" s="143"/>
      <c r="T85" s="131"/>
      <c r="U85" s="131"/>
    </row>
    <row r="86" spans="1:21" s="7" customFormat="1" ht="11.25">
      <c r="A86" s="8"/>
      <c r="B86" s="9"/>
      <c r="C86" s="10"/>
      <c r="D86" s="18" t="s">
        <v>13</v>
      </c>
      <c r="E86" s="19">
        <f aca="true" t="shared" si="40" ref="E86:U86">SUM(0)</f>
        <v>0</v>
      </c>
      <c r="F86" s="20">
        <f t="shared" si="40"/>
        <v>0</v>
      </c>
      <c r="G86" s="58">
        <v>0</v>
      </c>
      <c r="H86" s="62">
        <f>SUM(0)</f>
        <v>0</v>
      </c>
      <c r="I86" s="20">
        <f t="shared" si="40"/>
        <v>0</v>
      </c>
      <c r="J86" s="63">
        <f t="shared" si="40"/>
        <v>0</v>
      </c>
      <c r="K86" s="21">
        <f t="shared" si="40"/>
        <v>0</v>
      </c>
      <c r="L86" s="25"/>
      <c r="M86" s="25">
        <f t="shared" si="40"/>
        <v>0</v>
      </c>
      <c r="N86" s="25">
        <f t="shared" si="40"/>
        <v>0</v>
      </c>
      <c r="O86" s="25"/>
      <c r="P86" s="133">
        <f t="shared" si="40"/>
        <v>0</v>
      </c>
      <c r="Q86" s="163">
        <f t="shared" si="40"/>
        <v>0</v>
      </c>
      <c r="R86" s="163">
        <f t="shared" si="40"/>
        <v>0</v>
      </c>
      <c r="S86" s="145">
        <f t="shared" si="40"/>
        <v>0</v>
      </c>
      <c r="T86" s="135">
        <f t="shared" si="40"/>
        <v>0</v>
      </c>
      <c r="U86" s="135">
        <f t="shared" si="40"/>
        <v>0</v>
      </c>
    </row>
    <row r="87" spans="1:21" s="7" customFormat="1" ht="11.25">
      <c r="A87" s="8"/>
      <c r="B87" s="9"/>
      <c r="C87" s="10"/>
      <c r="D87" s="18" t="s">
        <v>14</v>
      </c>
      <c r="E87" s="19">
        <f>SUM(E81:E81)</f>
        <v>0</v>
      </c>
      <c r="F87" s="20" t="e">
        <f>F81+#REF!</f>
        <v>#REF!</v>
      </c>
      <c r="G87" s="58">
        <f>SUM(G81:G82)</f>
        <v>0</v>
      </c>
      <c r="H87" s="62">
        <f>SUM(H81:H82)</f>
        <v>41100</v>
      </c>
      <c r="I87" s="20">
        <f>SUM(I81:I82)</f>
        <v>3900</v>
      </c>
      <c r="J87" s="63">
        <f>SUM(J81:J82)</f>
        <v>45000</v>
      </c>
      <c r="K87" s="21">
        <f>SUM(K81:K85)</f>
        <v>263500</v>
      </c>
      <c r="L87" s="25"/>
      <c r="M87" s="25">
        <f aca="true" t="shared" si="41" ref="M87:T87">SUM(M81:M85)</f>
        <v>143500</v>
      </c>
      <c r="N87" s="25">
        <f t="shared" si="41"/>
        <v>-36000</v>
      </c>
      <c r="O87" s="25"/>
      <c r="P87" s="133">
        <f t="shared" si="41"/>
        <v>107500</v>
      </c>
      <c r="Q87" s="163">
        <f t="shared" si="41"/>
        <v>0</v>
      </c>
      <c r="R87" s="163">
        <f>SUM(R81:R85)</f>
        <v>156000</v>
      </c>
      <c r="S87" s="145">
        <f t="shared" si="41"/>
        <v>0</v>
      </c>
      <c r="T87" s="135">
        <f t="shared" si="41"/>
        <v>0</v>
      </c>
      <c r="U87" s="135">
        <f>SUM(U81:U85)</f>
        <v>0</v>
      </c>
    </row>
    <row r="88" spans="1:21" s="7" customFormat="1" ht="11.25">
      <c r="A88" s="8"/>
      <c r="B88" s="9"/>
      <c r="C88" s="10"/>
      <c r="D88" s="18" t="s">
        <v>15</v>
      </c>
      <c r="E88" s="19">
        <f aca="true" t="shared" si="42" ref="E88:N88">E86-E87</f>
        <v>0</v>
      </c>
      <c r="F88" s="20" t="e">
        <f>F86-F87</f>
        <v>#REF!</v>
      </c>
      <c r="G88" s="58">
        <f>G86-G87</f>
        <v>0</v>
      </c>
      <c r="H88" s="62">
        <f t="shared" si="42"/>
        <v>-41100</v>
      </c>
      <c r="I88" s="20">
        <f>I86-I87</f>
        <v>-3900</v>
      </c>
      <c r="J88" s="63">
        <f>J86-J87</f>
        <v>-45000</v>
      </c>
      <c r="K88" s="21">
        <f t="shared" si="42"/>
        <v>-263500</v>
      </c>
      <c r="L88" s="25"/>
      <c r="M88" s="25">
        <f t="shared" si="42"/>
        <v>-143500</v>
      </c>
      <c r="N88" s="25">
        <f t="shared" si="42"/>
        <v>36000</v>
      </c>
      <c r="O88" s="25"/>
      <c r="P88" s="133">
        <f aca="true" t="shared" si="43" ref="P88:U88">P86-P87</f>
        <v>-107500</v>
      </c>
      <c r="Q88" s="163">
        <f t="shared" si="43"/>
        <v>0</v>
      </c>
      <c r="R88" s="163">
        <f t="shared" si="43"/>
        <v>-156000</v>
      </c>
      <c r="S88" s="145">
        <f t="shared" si="43"/>
        <v>0</v>
      </c>
      <c r="T88" s="135">
        <f t="shared" si="43"/>
        <v>0</v>
      </c>
      <c r="U88" s="135">
        <f t="shared" si="43"/>
        <v>0</v>
      </c>
    </row>
    <row r="89" spans="1:21" s="7" customFormat="1" ht="12.75">
      <c r="A89" s="99" t="s">
        <v>204</v>
      </c>
      <c r="B89" s="9"/>
      <c r="C89" s="10"/>
      <c r="D89" s="15" t="s">
        <v>205</v>
      </c>
      <c r="E89" s="19"/>
      <c r="F89" s="20"/>
      <c r="G89" s="58"/>
      <c r="H89" s="62"/>
      <c r="I89" s="20"/>
      <c r="J89" s="63"/>
      <c r="K89" s="21"/>
      <c r="L89" s="25"/>
      <c r="M89" s="25"/>
      <c r="N89" s="25"/>
      <c r="O89" s="25"/>
      <c r="P89" s="133"/>
      <c r="Q89" s="163"/>
      <c r="R89" s="163"/>
      <c r="S89" s="145"/>
      <c r="T89" s="135"/>
      <c r="U89" s="135"/>
    </row>
    <row r="90" spans="1:21" s="7" customFormat="1" ht="11.25">
      <c r="A90" s="8">
        <v>4640</v>
      </c>
      <c r="B90" s="9" t="s">
        <v>27</v>
      </c>
      <c r="C90" s="10">
        <v>9400</v>
      </c>
      <c r="D90" s="11" t="s">
        <v>206</v>
      </c>
      <c r="E90" s="19"/>
      <c r="F90" s="20"/>
      <c r="G90" s="58"/>
      <c r="H90" s="62"/>
      <c r="I90" s="20"/>
      <c r="J90" s="63"/>
      <c r="K90" s="21"/>
      <c r="L90" s="25"/>
      <c r="M90" s="25"/>
      <c r="N90" s="25"/>
      <c r="O90" s="25"/>
      <c r="P90" s="133"/>
      <c r="Q90" s="163"/>
      <c r="R90" s="149">
        <v>25000</v>
      </c>
      <c r="S90" s="145"/>
      <c r="T90" s="135"/>
      <c r="U90" s="135"/>
    </row>
    <row r="91" spans="1:21" s="7" customFormat="1" ht="11.25">
      <c r="A91" s="158"/>
      <c r="B91" s="9"/>
      <c r="C91" s="10"/>
      <c r="D91" s="18" t="s">
        <v>13</v>
      </c>
      <c r="E91" s="19">
        <f aca="true" t="shared" si="44" ref="E91:U91">SUM(0)</f>
        <v>0</v>
      </c>
      <c r="F91" s="20">
        <f t="shared" si="44"/>
        <v>0</v>
      </c>
      <c r="G91" s="58">
        <v>0</v>
      </c>
      <c r="H91" s="62">
        <f>SUM(0)</f>
        <v>0</v>
      </c>
      <c r="I91" s="20">
        <f t="shared" si="44"/>
        <v>0</v>
      </c>
      <c r="J91" s="63">
        <f t="shared" si="44"/>
        <v>0</v>
      </c>
      <c r="K91" s="21">
        <f t="shared" si="44"/>
        <v>0</v>
      </c>
      <c r="L91" s="25"/>
      <c r="M91" s="25">
        <f t="shared" si="44"/>
        <v>0</v>
      </c>
      <c r="N91" s="25">
        <f t="shared" si="44"/>
        <v>0</v>
      </c>
      <c r="O91" s="25"/>
      <c r="P91" s="133">
        <f t="shared" si="44"/>
        <v>0</v>
      </c>
      <c r="Q91" s="163">
        <f t="shared" si="44"/>
        <v>0</v>
      </c>
      <c r="R91" s="163">
        <f t="shared" si="44"/>
        <v>0</v>
      </c>
      <c r="S91" s="145">
        <f t="shared" si="44"/>
        <v>0</v>
      </c>
      <c r="T91" s="135">
        <f t="shared" si="44"/>
        <v>0</v>
      </c>
      <c r="U91" s="135">
        <f t="shared" si="44"/>
        <v>0</v>
      </c>
    </row>
    <row r="92" spans="2:21" s="7" customFormat="1" ht="11.25">
      <c r="B92" s="9"/>
      <c r="C92" s="10"/>
      <c r="D92" s="18" t="s">
        <v>14</v>
      </c>
      <c r="E92" s="19">
        <f>SUM(E86:E86)</f>
        <v>0</v>
      </c>
      <c r="F92" s="20" t="e">
        <f>F86+#REF!</f>
        <v>#REF!</v>
      </c>
      <c r="G92" s="58">
        <f>SUM(G86:G87)</f>
        <v>0</v>
      </c>
      <c r="H92" s="62">
        <f>SUM(H86:H87)</f>
        <v>41100</v>
      </c>
      <c r="I92" s="20">
        <f>SUM(I86:I87)</f>
        <v>3900</v>
      </c>
      <c r="J92" s="63">
        <f>SUM(J86:J87)</f>
        <v>45000</v>
      </c>
      <c r="K92" s="21">
        <f>SUM(K86:K90)</f>
        <v>0</v>
      </c>
      <c r="L92" s="25"/>
      <c r="M92" s="25">
        <f aca="true" t="shared" si="45" ref="M92:T92">SUM(M86:M90)</f>
        <v>0</v>
      </c>
      <c r="N92" s="25">
        <f t="shared" si="45"/>
        <v>0</v>
      </c>
      <c r="O92" s="25"/>
      <c r="P92" s="133">
        <f t="shared" si="45"/>
        <v>0</v>
      </c>
      <c r="Q92" s="163">
        <f t="shared" si="45"/>
        <v>0</v>
      </c>
      <c r="R92" s="163">
        <f>SUM(R90)</f>
        <v>25000</v>
      </c>
      <c r="S92" s="145">
        <f t="shared" si="45"/>
        <v>0</v>
      </c>
      <c r="T92" s="135">
        <f t="shared" si="45"/>
        <v>0</v>
      </c>
      <c r="U92" s="135">
        <f>SUM(U86:U90)</f>
        <v>0</v>
      </c>
    </row>
    <row r="93" spans="1:21" s="7" customFormat="1" ht="11.25">
      <c r="A93" s="8"/>
      <c r="B93" s="9"/>
      <c r="C93" s="10"/>
      <c r="D93" s="18" t="s">
        <v>15</v>
      </c>
      <c r="E93" s="19">
        <f aca="true" t="shared" si="46" ref="E93:K93">E91-E92</f>
        <v>0</v>
      </c>
      <c r="F93" s="20" t="e">
        <f t="shared" si="46"/>
        <v>#REF!</v>
      </c>
      <c r="G93" s="58">
        <f t="shared" si="46"/>
        <v>0</v>
      </c>
      <c r="H93" s="62">
        <f t="shared" si="46"/>
        <v>-41100</v>
      </c>
      <c r="I93" s="20">
        <f t="shared" si="46"/>
        <v>-3900</v>
      </c>
      <c r="J93" s="63">
        <f t="shared" si="46"/>
        <v>-45000</v>
      </c>
      <c r="K93" s="21">
        <f t="shared" si="46"/>
        <v>0</v>
      </c>
      <c r="L93" s="25"/>
      <c r="M93" s="25">
        <f aca="true" t="shared" si="47" ref="M93:U93">M91-M92</f>
        <v>0</v>
      </c>
      <c r="N93" s="25">
        <f t="shared" si="47"/>
        <v>0</v>
      </c>
      <c r="O93" s="25"/>
      <c r="P93" s="133">
        <f t="shared" si="47"/>
        <v>0</v>
      </c>
      <c r="Q93" s="163">
        <f t="shared" si="47"/>
        <v>0</v>
      </c>
      <c r="R93" s="163">
        <f t="shared" si="47"/>
        <v>-25000</v>
      </c>
      <c r="S93" s="145">
        <f t="shared" si="47"/>
        <v>0</v>
      </c>
      <c r="T93" s="135">
        <f t="shared" si="47"/>
        <v>0</v>
      </c>
      <c r="U93" s="135">
        <f t="shared" si="47"/>
        <v>0</v>
      </c>
    </row>
    <row r="94" spans="1:21" s="7" customFormat="1" ht="12.75">
      <c r="A94" s="99" t="s">
        <v>140</v>
      </c>
      <c r="B94" s="9"/>
      <c r="C94" s="10"/>
      <c r="D94" s="15" t="s">
        <v>141</v>
      </c>
      <c r="E94" s="19"/>
      <c r="F94" s="20"/>
      <c r="G94" s="58"/>
      <c r="H94" s="62"/>
      <c r="I94" s="20"/>
      <c r="J94" s="63"/>
      <c r="K94" s="21"/>
      <c r="L94" s="25"/>
      <c r="M94" s="24"/>
      <c r="N94" s="24"/>
      <c r="O94" s="24"/>
      <c r="P94" s="133"/>
      <c r="Q94" s="161"/>
      <c r="R94" s="161"/>
      <c r="S94" s="143"/>
      <c r="T94" s="131"/>
      <c r="U94" s="131"/>
    </row>
    <row r="95" spans="1:21" s="7" customFormat="1" ht="12" customHeight="1">
      <c r="A95" s="8">
        <v>4644</v>
      </c>
      <c r="B95" s="9"/>
      <c r="C95" s="10">
        <v>9886</v>
      </c>
      <c r="D95" s="11" t="s">
        <v>142</v>
      </c>
      <c r="E95" s="19"/>
      <c r="F95" s="20"/>
      <c r="G95" s="58"/>
      <c r="H95" s="62"/>
      <c r="I95" s="20"/>
      <c r="J95" s="63"/>
      <c r="K95" s="26">
        <v>27300</v>
      </c>
      <c r="L95" s="113"/>
      <c r="M95" s="24">
        <f>K95</f>
        <v>27300</v>
      </c>
      <c r="N95" s="24"/>
      <c r="O95" s="24"/>
      <c r="P95" s="134">
        <f>M95+N95</f>
        <v>27300</v>
      </c>
      <c r="Q95" s="161"/>
      <c r="R95" s="161"/>
      <c r="S95" s="143"/>
      <c r="T95" s="131"/>
      <c r="U95" s="131"/>
    </row>
    <row r="96" spans="1:21" s="7" customFormat="1" ht="11.25">
      <c r="A96" s="8"/>
      <c r="B96" s="9"/>
      <c r="C96" s="10"/>
      <c r="D96" s="18" t="s">
        <v>13</v>
      </c>
      <c r="E96" s="19"/>
      <c r="F96" s="20"/>
      <c r="G96" s="58"/>
      <c r="H96" s="62"/>
      <c r="I96" s="20"/>
      <c r="J96" s="63"/>
      <c r="K96" s="21">
        <v>0</v>
      </c>
      <c r="L96" s="25"/>
      <c r="M96" s="25">
        <v>0</v>
      </c>
      <c r="N96" s="25">
        <v>0</v>
      </c>
      <c r="O96" s="25"/>
      <c r="P96" s="133">
        <v>0</v>
      </c>
      <c r="Q96" s="163">
        <v>0</v>
      </c>
      <c r="R96" s="163">
        <v>0</v>
      </c>
      <c r="S96" s="145">
        <v>0</v>
      </c>
      <c r="T96" s="135">
        <v>0</v>
      </c>
      <c r="U96" s="135">
        <v>0</v>
      </c>
    </row>
    <row r="97" spans="1:21" s="7" customFormat="1" ht="11.25">
      <c r="A97" s="8"/>
      <c r="B97" s="9"/>
      <c r="C97" s="10"/>
      <c r="D97" s="18" t="s">
        <v>14</v>
      </c>
      <c r="E97" s="19"/>
      <c r="F97" s="20"/>
      <c r="G97" s="58"/>
      <c r="H97" s="62"/>
      <c r="I97" s="20"/>
      <c r="J97" s="63"/>
      <c r="K97" s="21">
        <f>K95</f>
        <v>27300</v>
      </c>
      <c r="L97" s="25"/>
      <c r="M97" s="25">
        <f aca="true" t="shared" si="48" ref="M97:T97">M95</f>
        <v>27300</v>
      </c>
      <c r="N97" s="25">
        <f t="shared" si="48"/>
        <v>0</v>
      </c>
      <c r="O97" s="25"/>
      <c r="P97" s="133">
        <f t="shared" si="48"/>
        <v>27300</v>
      </c>
      <c r="Q97" s="163">
        <f t="shared" si="48"/>
        <v>0</v>
      </c>
      <c r="R97" s="163">
        <f>R95</f>
        <v>0</v>
      </c>
      <c r="S97" s="145">
        <f t="shared" si="48"/>
        <v>0</v>
      </c>
      <c r="T97" s="135">
        <f t="shared" si="48"/>
        <v>0</v>
      </c>
      <c r="U97" s="135">
        <f>U95</f>
        <v>0</v>
      </c>
    </row>
    <row r="98" spans="1:21" s="7" customFormat="1" ht="11.25">
      <c r="A98" s="8"/>
      <c r="B98" s="9"/>
      <c r="C98" s="10"/>
      <c r="D98" s="18" t="s">
        <v>15</v>
      </c>
      <c r="E98" s="19"/>
      <c r="F98" s="20"/>
      <c r="G98" s="58"/>
      <c r="H98" s="62"/>
      <c r="I98" s="20"/>
      <c r="J98" s="63"/>
      <c r="K98" s="21">
        <f>K96-K97</f>
        <v>-27300</v>
      </c>
      <c r="L98" s="25"/>
      <c r="M98" s="25">
        <f aca="true" t="shared" si="49" ref="M98:U98">M96-M97</f>
        <v>-27300</v>
      </c>
      <c r="N98" s="25">
        <f t="shared" si="49"/>
        <v>0</v>
      </c>
      <c r="O98" s="25"/>
      <c r="P98" s="133">
        <f t="shared" si="49"/>
        <v>-27300</v>
      </c>
      <c r="Q98" s="163">
        <f t="shared" si="49"/>
        <v>0</v>
      </c>
      <c r="R98" s="163">
        <f>R96-R97</f>
        <v>0</v>
      </c>
      <c r="S98" s="145">
        <f t="shared" si="49"/>
        <v>0</v>
      </c>
      <c r="T98" s="135">
        <f t="shared" si="49"/>
        <v>0</v>
      </c>
      <c r="U98" s="135">
        <f t="shared" si="49"/>
        <v>0</v>
      </c>
    </row>
    <row r="99" spans="1:21" s="7" customFormat="1" ht="15" customHeight="1">
      <c r="A99" s="99" t="s">
        <v>49</v>
      </c>
      <c r="B99" s="9"/>
      <c r="C99" s="10"/>
      <c r="D99" s="15" t="s">
        <v>50</v>
      </c>
      <c r="E99" s="19"/>
      <c r="F99" s="20"/>
      <c r="G99" s="58"/>
      <c r="H99" s="62"/>
      <c r="I99" s="20"/>
      <c r="J99" s="63"/>
      <c r="K99" s="21"/>
      <c r="L99" s="25"/>
      <c r="M99" s="24"/>
      <c r="N99" s="24"/>
      <c r="O99" s="24"/>
      <c r="P99" s="133"/>
      <c r="Q99" s="161"/>
      <c r="R99" s="161"/>
      <c r="S99" s="143"/>
      <c r="T99" s="131"/>
      <c r="U99" s="131"/>
    </row>
    <row r="100" spans="1:21" s="191" customFormat="1" ht="11.25">
      <c r="A100" s="176" t="s">
        <v>51</v>
      </c>
      <c r="B100" s="177"/>
      <c r="C100" s="178" t="s">
        <v>8</v>
      </c>
      <c r="D100" s="179" t="s">
        <v>207</v>
      </c>
      <c r="E100" s="180">
        <v>0</v>
      </c>
      <c r="F100" s="181"/>
      <c r="G100" s="182">
        <f>SUM(E100:F100)</f>
        <v>0</v>
      </c>
      <c r="H100" s="183">
        <v>25000</v>
      </c>
      <c r="I100" s="181"/>
      <c r="J100" s="184">
        <f>SUM(H100:I100)</f>
        <v>25000</v>
      </c>
      <c r="K100" s="185">
        <v>20000</v>
      </c>
      <c r="L100" s="186"/>
      <c r="M100" s="186">
        <f>K100</f>
        <v>20000</v>
      </c>
      <c r="N100" s="186">
        <v>-10000</v>
      </c>
      <c r="O100" s="186"/>
      <c r="P100" s="187">
        <f>M100+N100</f>
        <v>10000</v>
      </c>
      <c r="Q100" s="195"/>
      <c r="R100" s="188">
        <v>50000</v>
      </c>
      <c r="S100" s="196"/>
      <c r="T100" s="190"/>
      <c r="U100" s="190"/>
    </row>
    <row r="101" spans="1:21" s="7" customFormat="1" ht="11.25">
      <c r="A101" s="8"/>
      <c r="B101" s="9"/>
      <c r="C101" s="10"/>
      <c r="D101" s="18" t="s">
        <v>13</v>
      </c>
      <c r="E101" s="19">
        <f aca="true" t="shared" si="50" ref="E101:U101">SUM(0)</f>
        <v>0</v>
      </c>
      <c r="F101" s="20">
        <f t="shared" si="50"/>
        <v>0</v>
      </c>
      <c r="G101" s="58">
        <f t="shared" si="50"/>
        <v>0</v>
      </c>
      <c r="H101" s="62">
        <f t="shared" si="50"/>
        <v>0</v>
      </c>
      <c r="I101" s="20">
        <f t="shared" si="50"/>
        <v>0</v>
      </c>
      <c r="J101" s="63">
        <f t="shared" si="50"/>
        <v>0</v>
      </c>
      <c r="K101" s="21">
        <f t="shared" si="50"/>
        <v>0</v>
      </c>
      <c r="L101" s="25"/>
      <c r="M101" s="25">
        <f t="shared" si="50"/>
        <v>0</v>
      </c>
      <c r="N101" s="25">
        <f t="shared" si="50"/>
        <v>0</v>
      </c>
      <c r="O101" s="25"/>
      <c r="P101" s="133">
        <f t="shared" si="50"/>
        <v>0</v>
      </c>
      <c r="Q101" s="163">
        <f t="shared" si="50"/>
        <v>0</v>
      </c>
      <c r="R101" s="163">
        <f t="shared" si="50"/>
        <v>0</v>
      </c>
      <c r="S101" s="145">
        <f t="shared" si="50"/>
        <v>0</v>
      </c>
      <c r="T101" s="135">
        <f t="shared" si="50"/>
        <v>0</v>
      </c>
      <c r="U101" s="135">
        <f t="shared" si="50"/>
        <v>0</v>
      </c>
    </row>
    <row r="102" spans="1:21" s="7" customFormat="1" ht="11.25">
      <c r="A102" s="8"/>
      <c r="B102" s="9"/>
      <c r="C102" s="10"/>
      <c r="D102" s="18" t="s">
        <v>14</v>
      </c>
      <c r="E102" s="19">
        <f aca="true" t="shared" si="51" ref="E102:N102">SUM(E100)</f>
        <v>0</v>
      </c>
      <c r="F102" s="20">
        <f>SUM(F100)</f>
        <v>0</v>
      </c>
      <c r="G102" s="58">
        <f>SUM(G100)</f>
        <v>0</v>
      </c>
      <c r="H102" s="62">
        <f t="shared" si="51"/>
        <v>25000</v>
      </c>
      <c r="I102" s="20">
        <f>SUM(I100)</f>
        <v>0</v>
      </c>
      <c r="J102" s="63">
        <f>SUM(J100)</f>
        <v>25000</v>
      </c>
      <c r="K102" s="21">
        <f t="shared" si="51"/>
        <v>20000</v>
      </c>
      <c r="L102" s="25"/>
      <c r="M102" s="25">
        <f t="shared" si="51"/>
        <v>20000</v>
      </c>
      <c r="N102" s="25">
        <f t="shared" si="51"/>
        <v>-10000</v>
      </c>
      <c r="O102" s="25"/>
      <c r="P102" s="133">
        <f aca="true" t="shared" si="52" ref="P102:U102">SUM(P100)</f>
        <v>10000</v>
      </c>
      <c r="Q102" s="163">
        <f t="shared" si="52"/>
        <v>0</v>
      </c>
      <c r="R102" s="163">
        <f t="shared" si="52"/>
        <v>50000</v>
      </c>
      <c r="S102" s="145">
        <f t="shared" si="52"/>
        <v>0</v>
      </c>
      <c r="T102" s="135">
        <f t="shared" si="52"/>
        <v>0</v>
      </c>
      <c r="U102" s="135">
        <f t="shared" si="52"/>
        <v>0</v>
      </c>
    </row>
    <row r="103" spans="1:21" s="7" customFormat="1" ht="11.25">
      <c r="A103" s="8"/>
      <c r="B103" s="9"/>
      <c r="C103" s="10"/>
      <c r="D103" s="18" t="s">
        <v>15</v>
      </c>
      <c r="E103" s="19">
        <f aca="true" t="shared" si="53" ref="E103:N103">E101-E102</f>
        <v>0</v>
      </c>
      <c r="F103" s="20">
        <f>F101-F102</f>
        <v>0</v>
      </c>
      <c r="G103" s="58">
        <f>G101-G102</f>
        <v>0</v>
      </c>
      <c r="H103" s="62">
        <f t="shared" si="53"/>
        <v>-25000</v>
      </c>
      <c r="I103" s="20">
        <f>I101-I102</f>
        <v>0</v>
      </c>
      <c r="J103" s="63">
        <f>J101-J102</f>
        <v>-25000</v>
      </c>
      <c r="K103" s="21">
        <f t="shared" si="53"/>
        <v>-20000</v>
      </c>
      <c r="L103" s="25"/>
      <c r="M103" s="25">
        <f t="shared" si="53"/>
        <v>-20000</v>
      </c>
      <c r="N103" s="25">
        <f t="shared" si="53"/>
        <v>10000</v>
      </c>
      <c r="O103" s="25"/>
      <c r="P103" s="133">
        <f aca="true" t="shared" si="54" ref="P103:U103">P101-P102</f>
        <v>-10000</v>
      </c>
      <c r="Q103" s="163">
        <f t="shared" si="54"/>
        <v>0</v>
      </c>
      <c r="R103" s="163">
        <f t="shared" si="54"/>
        <v>-50000</v>
      </c>
      <c r="S103" s="145">
        <f t="shared" si="54"/>
        <v>0</v>
      </c>
      <c r="T103" s="135">
        <f t="shared" si="54"/>
        <v>0</v>
      </c>
      <c r="U103" s="135">
        <f t="shared" si="54"/>
        <v>0</v>
      </c>
    </row>
    <row r="104" spans="1:21" s="7" customFormat="1" ht="13.5" customHeight="1">
      <c r="A104" s="99" t="s">
        <v>52</v>
      </c>
      <c r="B104" s="9"/>
      <c r="C104" s="10"/>
      <c r="D104" s="15" t="s">
        <v>53</v>
      </c>
      <c r="E104" s="19"/>
      <c r="F104" s="20"/>
      <c r="G104" s="58"/>
      <c r="H104" s="62"/>
      <c r="I104" s="20"/>
      <c r="J104" s="63"/>
      <c r="K104" s="21"/>
      <c r="L104" s="25"/>
      <c r="M104" s="24"/>
      <c r="N104" s="24"/>
      <c r="O104" s="24"/>
      <c r="P104" s="133"/>
      <c r="Q104" s="161"/>
      <c r="R104" s="161"/>
      <c r="S104" s="143"/>
      <c r="T104" s="131"/>
      <c r="U104" s="131"/>
    </row>
    <row r="105" spans="1:21" s="191" customFormat="1" ht="11.25">
      <c r="A105" s="176">
        <v>560</v>
      </c>
      <c r="B105" s="177" t="s">
        <v>27</v>
      </c>
      <c r="C105" s="178">
        <v>9500</v>
      </c>
      <c r="D105" s="179" t="s">
        <v>54</v>
      </c>
      <c r="E105" s="205">
        <v>0</v>
      </c>
      <c r="F105" s="206"/>
      <c r="G105" s="182">
        <f>SUM(E105:F105)</f>
        <v>0</v>
      </c>
      <c r="H105" s="208">
        <v>0</v>
      </c>
      <c r="I105" s="206"/>
      <c r="J105" s="184">
        <f>SUM(H105:I105)</f>
        <v>0</v>
      </c>
      <c r="K105" s="209">
        <v>80000</v>
      </c>
      <c r="L105" s="210">
        <v>80000</v>
      </c>
      <c r="M105" s="186">
        <v>0</v>
      </c>
      <c r="N105" s="186"/>
      <c r="O105" s="186"/>
      <c r="P105" s="187">
        <f>M105+N105</f>
        <v>0</v>
      </c>
      <c r="Q105" s="188">
        <v>80000</v>
      </c>
      <c r="R105" s="188">
        <v>100000</v>
      </c>
      <c r="S105" s="189">
        <v>0</v>
      </c>
      <c r="T105" s="190"/>
      <c r="U105" s="190"/>
    </row>
    <row r="106" spans="1:21" s="7" customFormat="1" ht="11.25">
      <c r="A106" s="8">
        <v>560</v>
      </c>
      <c r="B106" s="9">
        <v>1</v>
      </c>
      <c r="C106" s="10">
        <v>9500</v>
      </c>
      <c r="D106" s="11" t="s">
        <v>55</v>
      </c>
      <c r="E106" s="12">
        <v>0</v>
      </c>
      <c r="F106" s="13">
        <v>0</v>
      </c>
      <c r="G106" s="23">
        <v>0</v>
      </c>
      <c r="H106" s="64">
        <v>0</v>
      </c>
      <c r="I106" s="13"/>
      <c r="J106" s="70">
        <f>SUM(H106:I106)</f>
        <v>0</v>
      </c>
      <c r="K106" s="26">
        <v>230000</v>
      </c>
      <c r="L106" s="113"/>
      <c r="M106" s="24">
        <f>K106</f>
        <v>230000</v>
      </c>
      <c r="N106" s="24"/>
      <c r="O106" s="24"/>
      <c r="P106" s="134">
        <f>M106+N106</f>
        <v>230000</v>
      </c>
      <c r="Q106" s="161">
        <v>0</v>
      </c>
      <c r="R106" s="161">
        <v>0</v>
      </c>
      <c r="S106" s="143">
        <v>0</v>
      </c>
      <c r="T106" s="131"/>
      <c r="U106" s="131"/>
    </row>
    <row r="107" spans="1:21" s="7" customFormat="1" ht="11.25">
      <c r="A107" s="8"/>
      <c r="B107" s="9"/>
      <c r="C107" s="10"/>
      <c r="D107" s="11" t="s">
        <v>182</v>
      </c>
      <c r="E107" s="12"/>
      <c r="F107" s="13"/>
      <c r="G107" s="23"/>
      <c r="H107" s="64"/>
      <c r="I107" s="13"/>
      <c r="J107" s="70"/>
      <c r="K107" s="26"/>
      <c r="L107" s="113"/>
      <c r="M107" s="24"/>
      <c r="N107" s="24">
        <v>100000</v>
      </c>
      <c r="O107" s="24"/>
      <c r="P107" s="134">
        <f>M107+N107</f>
        <v>100000</v>
      </c>
      <c r="Q107" s="161"/>
      <c r="R107" s="161"/>
      <c r="S107" s="143"/>
      <c r="T107" s="131"/>
      <c r="U107" s="131"/>
    </row>
    <row r="108" spans="1:21" s="7" customFormat="1" ht="11.25">
      <c r="A108" s="8"/>
      <c r="B108" s="9"/>
      <c r="C108" s="10"/>
      <c r="D108" s="11" t="s">
        <v>183</v>
      </c>
      <c r="E108" s="12"/>
      <c r="F108" s="13"/>
      <c r="G108" s="23"/>
      <c r="H108" s="64"/>
      <c r="I108" s="13"/>
      <c r="J108" s="70"/>
      <c r="K108" s="26"/>
      <c r="L108" s="113"/>
      <c r="M108" s="24"/>
      <c r="N108" s="24">
        <v>130000</v>
      </c>
      <c r="O108" s="24"/>
      <c r="P108" s="134">
        <f>M108+N108</f>
        <v>130000</v>
      </c>
      <c r="Q108" s="161"/>
      <c r="R108" s="161"/>
      <c r="S108" s="143"/>
      <c r="T108" s="131"/>
      <c r="U108" s="131"/>
    </row>
    <row r="109" spans="1:21" s="7" customFormat="1" ht="11.25">
      <c r="A109" s="8"/>
      <c r="B109" s="9"/>
      <c r="C109" s="10"/>
      <c r="D109" s="18" t="s">
        <v>13</v>
      </c>
      <c r="E109" s="19">
        <f aca="true" t="shared" si="55" ref="E109:U109">SUM(0)</f>
        <v>0</v>
      </c>
      <c r="F109" s="20">
        <f t="shared" si="55"/>
        <v>0</v>
      </c>
      <c r="G109" s="58">
        <f t="shared" si="55"/>
        <v>0</v>
      </c>
      <c r="H109" s="62">
        <f t="shared" si="55"/>
        <v>0</v>
      </c>
      <c r="I109" s="20">
        <f t="shared" si="55"/>
        <v>0</v>
      </c>
      <c r="J109" s="63">
        <f t="shared" si="55"/>
        <v>0</v>
      </c>
      <c r="K109" s="21">
        <f t="shared" si="55"/>
        <v>0</v>
      </c>
      <c r="L109" s="25"/>
      <c r="M109" s="25">
        <f t="shared" si="55"/>
        <v>0</v>
      </c>
      <c r="N109" s="25">
        <f>SUM(N107:N108)</f>
        <v>230000</v>
      </c>
      <c r="O109" s="25"/>
      <c r="P109" s="25">
        <f>SUM(P107:P108)</f>
        <v>230000</v>
      </c>
      <c r="Q109" s="163">
        <f t="shared" si="55"/>
        <v>0</v>
      </c>
      <c r="R109" s="163">
        <f t="shared" si="55"/>
        <v>0</v>
      </c>
      <c r="S109" s="145">
        <f t="shared" si="55"/>
        <v>0</v>
      </c>
      <c r="T109" s="135">
        <f t="shared" si="55"/>
        <v>0</v>
      </c>
      <c r="U109" s="135">
        <f t="shared" si="55"/>
        <v>0</v>
      </c>
    </row>
    <row r="110" spans="1:21" s="7" customFormat="1" ht="11.25">
      <c r="A110" s="8"/>
      <c r="B110" s="9"/>
      <c r="C110" s="10"/>
      <c r="D110" s="18" t="s">
        <v>14</v>
      </c>
      <c r="E110" s="19">
        <f aca="true" t="shared" si="56" ref="E110:N110">SUM(E105:E106)</f>
        <v>0</v>
      </c>
      <c r="F110" s="20">
        <f t="shared" si="56"/>
        <v>0</v>
      </c>
      <c r="G110" s="58">
        <f t="shared" si="56"/>
        <v>0</v>
      </c>
      <c r="H110" s="62">
        <f t="shared" si="56"/>
        <v>0</v>
      </c>
      <c r="I110" s="20">
        <f t="shared" si="56"/>
        <v>0</v>
      </c>
      <c r="J110" s="63">
        <f t="shared" si="56"/>
        <v>0</v>
      </c>
      <c r="K110" s="21">
        <f t="shared" si="56"/>
        <v>310000</v>
      </c>
      <c r="L110" s="25"/>
      <c r="M110" s="25">
        <f t="shared" si="56"/>
        <v>230000</v>
      </c>
      <c r="N110" s="25">
        <f t="shared" si="56"/>
        <v>0</v>
      </c>
      <c r="O110" s="25"/>
      <c r="P110" s="133">
        <f aca="true" t="shared" si="57" ref="P110:U110">SUM(P105:P106)</f>
        <v>230000</v>
      </c>
      <c r="Q110" s="163">
        <f t="shared" si="57"/>
        <v>80000</v>
      </c>
      <c r="R110" s="163">
        <f t="shared" si="57"/>
        <v>100000</v>
      </c>
      <c r="S110" s="145">
        <f t="shared" si="57"/>
        <v>0</v>
      </c>
      <c r="T110" s="135">
        <f t="shared" si="57"/>
        <v>0</v>
      </c>
      <c r="U110" s="135">
        <f t="shared" si="57"/>
        <v>0</v>
      </c>
    </row>
    <row r="111" spans="1:21" s="7" customFormat="1" ht="11.25">
      <c r="A111" s="8"/>
      <c r="B111" s="9"/>
      <c r="C111" s="10"/>
      <c r="D111" s="18" t="s">
        <v>15</v>
      </c>
      <c r="E111" s="19">
        <f aca="true" t="shared" si="58" ref="E111:N111">E109-E110</f>
        <v>0</v>
      </c>
      <c r="F111" s="20">
        <f>F109-F110</f>
        <v>0</v>
      </c>
      <c r="G111" s="58">
        <f>G109-G110</f>
        <v>0</v>
      </c>
      <c r="H111" s="62">
        <f t="shared" si="58"/>
        <v>0</v>
      </c>
      <c r="I111" s="20">
        <f>I109-I110</f>
        <v>0</v>
      </c>
      <c r="J111" s="63">
        <f>J109-J110</f>
        <v>0</v>
      </c>
      <c r="K111" s="21">
        <f t="shared" si="58"/>
        <v>-310000</v>
      </c>
      <c r="L111" s="25"/>
      <c r="M111" s="25">
        <f t="shared" si="58"/>
        <v>-230000</v>
      </c>
      <c r="N111" s="25">
        <f t="shared" si="58"/>
        <v>230000</v>
      </c>
      <c r="O111" s="25"/>
      <c r="P111" s="133">
        <f aca="true" t="shared" si="59" ref="P111:U111">P109-P110</f>
        <v>0</v>
      </c>
      <c r="Q111" s="163">
        <f t="shared" si="59"/>
        <v>-80000</v>
      </c>
      <c r="R111" s="163">
        <f t="shared" si="59"/>
        <v>-100000</v>
      </c>
      <c r="S111" s="145">
        <f t="shared" si="59"/>
        <v>0</v>
      </c>
      <c r="T111" s="135">
        <f t="shared" si="59"/>
        <v>0</v>
      </c>
      <c r="U111" s="135">
        <f t="shared" si="59"/>
        <v>0</v>
      </c>
    </row>
    <row r="112" spans="1:21" s="7" customFormat="1" ht="13.5" customHeight="1">
      <c r="A112" s="99" t="s">
        <v>56</v>
      </c>
      <c r="B112" s="9"/>
      <c r="C112" s="10"/>
      <c r="D112" s="15" t="s">
        <v>57</v>
      </c>
      <c r="E112" s="19"/>
      <c r="F112" s="20"/>
      <c r="G112" s="58"/>
      <c r="H112" s="62"/>
      <c r="I112" s="20"/>
      <c r="J112" s="63"/>
      <c r="K112" s="21"/>
      <c r="L112" s="25"/>
      <c r="M112" s="24"/>
      <c r="N112" s="118"/>
      <c r="O112" s="118"/>
      <c r="P112" s="133"/>
      <c r="Q112" s="161"/>
      <c r="R112" s="161"/>
      <c r="S112" s="143"/>
      <c r="T112" s="131"/>
      <c r="U112" s="131"/>
    </row>
    <row r="113" spans="1:21" s="191" customFormat="1" ht="11.25">
      <c r="A113" s="176">
        <v>580</v>
      </c>
      <c r="B113" s="177"/>
      <c r="C113" s="178">
        <v>9350</v>
      </c>
      <c r="D113" s="179" t="s">
        <v>58</v>
      </c>
      <c r="E113" s="205">
        <v>0</v>
      </c>
      <c r="F113" s="206"/>
      <c r="G113" s="182">
        <f>SUM(E113:F113)</f>
        <v>0</v>
      </c>
      <c r="H113" s="208">
        <v>5000</v>
      </c>
      <c r="I113" s="206"/>
      <c r="J113" s="184">
        <f>SUM(H113:I113)</f>
        <v>5000</v>
      </c>
      <c r="K113" s="209">
        <v>5000</v>
      </c>
      <c r="L113" s="210"/>
      <c r="M113" s="186">
        <f>K113</f>
        <v>5000</v>
      </c>
      <c r="N113" s="194"/>
      <c r="O113" s="194"/>
      <c r="P113" s="187">
        <f>M113+N113</f>
        <v>5000</v>
      </c>
      <c r="Q113" s="188">
        <v>5000</v>
      </c>
      <c r="R113" s="188">
        <v>5000</v>
      </c>
      <c r="S113" s="196">
        <v>0</v>
      </c>
      <c r="T113" s="190"/>
      <c r="U113" s="190"/>
    </row>
    <row r="114" spans="1:21" s="191" customFormat="1" ht="11.25">
      <c r="A114" s="176">
        <v>580</v>
      </c>
      <c r="B114" s="177"/>
      <c r="C114" s="178">
        <v>9357</v>
      </c>
      <c r="D114" s="179" t="s">
        <v>148</v>
      </c>
      <c r="E114" s="212"/>
      <c r="F114" s="213"/>
      <c r="G114" s="214"/>
      <c r="H114" s="215"/>
      <c r="I114" s="213"/>
      <c r="J114" s="184">
        <v>0</v>
      </c>
      <c r="K114" s="216">
        <v>5000</v>
      </c>
      <c r="L114" s="217"/>
      <c r="M114" s="186">
        <f>K114</f>
        <v>5000</v>
      </c>
      <c r="N114" s="194"/>
      <c r="O114" s="194"/>
      <c r="P114" s="187">
        <f>M114+N114</f>
        <v>5000</v>
      </c>
      <c r="Q114" s="195">
        <v>5000</v>
      </c>
      <c r="R114" s="195">
        <v>5000</v>
      </c>
      <c r="S114" s="189">
        <v>5000</v>
      </c>
      <c r="T114" s="190">
        <v>5000</v>
      </c>
      <c r="U114" s="190">
        <v>5000</v>
      </c>
    </row>
    <row r="115" spans="1:21" s="7" customFormat="1" ht="11.25">
      <c r="A115" s="8"/>
      <c r="B115" s="9"/>
      <c r="C115" s="10"/>
      <c r="D115" s="18" t="s">
        <v>13</v>
      </c>
      <c r="E115" s="19">
        <f aca="true" t="shared" si="60" ref="E115:U115">SUM(0)</f>
        <v>0</v>
      </c>
      <c r="F115" s="20">
        <f t="shared" si="60"/>
        <v>0</v>
      </c>
      <c r="G115" s="58">
        <f t="shared" si="60"/>
        <v>0</v>
      </c>
      <c r="H115" s="62">
        <f t="shared" si="60"/>
        <v>0</v>
      </c>
      <c r="I115" s="20">
        <f t="shared" si="60"/>
        <v>0</v>
      </c>
      <c r="J115" s="63">
        <f t="shared" si="60"/>
        <v>0</v>
      </c>
      <c r="K115" s="21">
        <f t="shared" si="60"/>
        <v>0</v>
      </c>
      <c r="L115" s="25"/>
      <c r="M115" s="25">
        <f t="shared" si="60"/>
        <v>0</v>
      </c>
      <c r="N115" s="25">
        <f t="shared" si="60"/>
        <v>0</v>
      </c>
      <c r="O115" s="25"/>
      <c r="P115" s="133">
        <f t="shared" si="60"/>
        <v>0</v>
      </c>
      <c r="Q115" s="163">
        <f t="shared" si="60"/>
        <v>0</v>
      </c>
      <c r="R115" s="163">
        <f t="shared" si="60"/>
        <v>0</v>
      </c>
      <c r="S115" s="145">
        <f t="shared" si="60"/>
        <v>0</v>
      </c>
      <c r="T115" s="135">
        <f t="shared" si="60"/>
        <v>0</v>
      </c>
      <c r="U115" s="135">
        <f t="shared" si="60"/>
        <v>0</v>
      </c>
    </row>
    <row r="116" spans="1:21" s="7" customFormat="1" ht="11.25">
      <c r="A116" s="8"/>
      <c r="B116" s="9"/>
      <c r="C116" s="10"/>
      <c r="D116" s="18" t="s">
        <v>14</v>
      </c>
      <c r="E116" s="19">
        <f>SUM(E113:E113)</f>
        <v>0</v>
      </c>
      <c r="F116" s="20">
        <f>SUM(F113:F113)</f>
        <v>0</v>
      </c>
      <c r="G116" s="58">
        <f>SUM(G113:G113)</f>
        <v>0</v>
      </c>
      <c r="H116" s="62">
        <f>SUM(H113:H113)</f>
        <v>5000</v>
      </c>
      <c r="I116" s="20">
        <f>SUM(I113:I113)</f>
        <v>0</v>
      </c>
      <c r="J116" s="63">
        <f>SUM(J113:J114)</f>
        <v>5000</v>
      </c>
      <c r="K116" s="21">
        <f>SUM(K113:K114)</f>
        <v>10000</v>
      </c>
      <c r="L116" s="25"/>
      <c r="M116" s="25">
        <f aca="true" t="shared" si="61" ref="M116:T116">SUM(M113:M114)</f>
        <v>10000</v>
      </c>
      <c r="N116" s="25">
        <f t="shared" si="61"/>
        <v>0</v>
      </c>
      <c r="O116" s="25"/>
      <c r="P116" s="133">
        <f t="shared" si="61"/>
        <v>10000</v>
      </c>
      <c r="Q116" s="163">
        <f t="shared" si="61"/>
        <v>10000</v>
      </c>
      <c r="R116" s="163">
        <f>SUM(R113:R114)</f>
        <v>10000</v>
      </c>
      <c r="S116" s="145">
        <f t="shared" si="61"/>
        <v>5000</v>
      </c>
      <c r="T116" s="135">
        <f t="shared" si="61"/>
        <v>5000</v>
      </c>
      <c r="U116" s="135">
        <f>SUM(U113:U114)</f>
        <v>5000</v>
      </c>
    </row>
    <row r="117" spans="1:21" s="7" customFormat="1" ht="11.25">
      <c r="A117" s="8"/>
      <c r="B117" s="9"/>
      <c r="C117" s="10"/>
      <c r="D117" s="18" t="s">
        <v>15</v>
      </c>
      <c r="E117" s="19">
        <f aca="true" t="shared" si="62" ref="E117:N117">E115-E116</f>
        <v>0</v>
      </c>
      <c r="F117" s="20">
        <f>F115-F116</f>
        <v>0</v>
      </c>
      <c r="G117" s="58">
        <f>G115-G116</f>
        <v>0</v>
      </c>
      <c r="H117" s="62">
        <f t="shared" si="62"/>
        <v>-5000</v>
      </c>
      <c r="I117" s="20">
        <f>I115-I116</f>
        <v>0</v>
      </c>
      <c r="J117" s="63">
        <f>J115-J116</f>
        <v>-5000</v>
      </c>
      <c r="K117" s="21">
        <f t="shared" si="62"/>
        <v>-10000</v>
      </c>
      <c r="L117" s="25"/>
      <c r="M117" s="25">
        <f t="shared" si="62"/>
        <v>-10000</v>
      </c>
      <c r="N117" s="25">
        <f t="shared" si="62"/>
        <v>0</v>
      </c>
      <c r="O117" s="25"/>
      <c r="P117" s="133">
        <f aca="true" t="shared" si="63" ref="P117:U117">P115-P116</f>
        <v>-10000</v>
      </c>
      <c r="Q117" s="163">
        <f t="shared" si="63"/>
        <v>-10000</v>
      </c>
      <c r="R117" s="163">
        <f t="shared" si="63"/>
        <v>-10000</v>
      </c>
      <c r="S117" s="145">
        <f t="shared" si="63"/>
        <v>-5000</v>
      </c>
      <c r="T117" s="135">
        <f t="shared" si="63"/>
        <v>-5000</v>
      </c>
      <c r="U117" s="135">
        <f t="shared" si="63"/>
        <v>-5000</v>
      </c>
    </row>
    <row r="118" spans="1:21" s="7" customFormat="1" ht="13.5" customHeight="1">
      <c r="A118" s="99" t="s">
        <v>59</v>
      </c>
      <c r="B118" s="9"/>
      <c r="C118" s="10"/>
      <c r="D118" s="15" t="s">
        <v>60</v>
      </c>
      <c r="E118" s="19"/>
      <c r="F118" s="20"/>
      <c r="G118" s="58"/>
      <c r="H118" s="62"/>
      <c r="I118" s="20"/>
      <c r="J118" s="63"/>
      <c r="K118" s="21"/>
      <c r="L118" s="25"/>
      <c r="M118" s="24"/>
      <c r="N118" s="118"/>
      <c r="O118" s="118"/>
      <c r="P118" s="133"/>
      <c r="Q118" s="162"/>
      <c r="R118" s="162"/>
      <c r="S118" s="144"/>
      <c r="T118" s="132"/>
      <c r="U118" s="132"/>
    </row>
    <row r="119" spans="1:21" s="7" customFormat="1" ht="11.25">
      <c r="A119" s="8" t="s">
        <v>61</v>
      </c>
      <c r="B119" s="9">
        <v>0</v>
      </c>
      <c r="C119" s="10" t="s">
        <v>62</v>
      </c>
      <c r="D119" s="11" t="s">
        <v>63</v>
      </c>
      <c r="E119" s="12">
        <v>50000</v>
      </c>
      <c r="F119" s="13">
        <v>123700</v>
      </c>
      <c r="G119" s="23">
        <f aca="true" t="shared" si="64" ref="G119:G126">SUM(E119:F119)</f>
        <v>173700</v>
      </c>
      <c r="H119" s="64">
        <v>50000</v>
      </c>
      <c r="I119" s="13"/>
      <c r="J119" s="70">
        <f aca="true" t="shared" si="65" ref="J119:J126">SUM(H119:I119)</f>
        <v>50000</v>
      </c>
      <c r="K119" s="26">
        <v>50000</v>
      </c>
      <c r="L119" s="113"/>
      <c r="M119" s="24">
        <f aca="true" t="shared" si="66" ref="M119:M127">K119</f>
        <v>50000</v>
      </c>
      <c r="N119" s="118"/>
      <c r="O119" s="118"/>
      <c r="P119" s="134">
        <f>M119+N119</f>
        <v>50000</v>
      </c>
      <c r="Q119" s="161"/>
      <c r="R119" s="161"/>
      <c r="S119" s="143"/>
      <c r="T119" s="131"/>
      <c r="U119" s="131"/>
    </row>
    <row r="120" spans="1:21" s="191" customFormat="1" ht="11.25">
      <c r="A120" s="176" t="s">
        <v>61</v>
      </c>
      <c r="B120" s="177">
        <v>0</v>
      </c>
      <c r="C120" s="178" t="s">
        <v>64</v>
      </c>
      <c r="D120" s="179" t="s">
        <v>65</v>
      </c>
      <c r="E120" s="205">
        <v>30000</v>
      </c>
      <c r="F120" s="206"/>
      <c r="G120" s="182">
        <f t="shared" si="64"/>
        <v>30000</v>
      </c>
      <c r="H120" s="208">
        <v>30000</v>
      </c>
      <c r="I120" s="206"/>
      <c r="J120" s="184">
        <f t="shared" si="65"/>
        <v>30000</v>
      </c>
      <c r="K120" s="209">
        <v>30000</v>
      </c>
      <c r="L120" s="210"/>
      <c r="M120" s="186">
        <f t="shared" si="66"/>
        <v>30000</v>
      </c>
      <c r="N120" s="194"/>
      <c r="O120" s="194"/>
      <c r="P120" s="187">
        <f>M120+N120</f>
        <v>30000</v>
      </c>
      <c r="Q120" s="188">
        <v>30000</v>
      </c>
      <c r="R120" s="188">
        <v>30000</v>
      </c>
      <c r="S120" s="196">
        <v>30000</v>
      </c>
      <c r="T120" s="197">
        <v>30000</v>
      </c>
      <c r="U120" s="197">
        <v>30000</v>
      </c>
    </row>
    <row r="121" spans="1:25" s="191" customFormat="1" ht="34.5" customHeight="1">
      <c r="A121" s="176" t="s">
        <v>61</v>
      </c>
      <c r="B121" s="177">
        <v>3</v>
      </c>
      <c r="C121" s="178" t="s">
        <v>66</v>
      </c>
      <c r="D121" s="179" t="s">
        <v>67</v>
      </c>
      <c r="E121" s="205">
        <v>110000</v>
      </c>
      <c r="F121" s="206"/>
      <c r="G121" s="182">
        <f t="shared" si="64"/>
        <v>110000</v>
      </c>
      <c r="H121" s="208">
        <v>220000</v>
      </c>
      <c r="I121" s="206"/>
      <c r="J121" s="184">
        <f t="shared" si="65"/>
        <v>220000</v>
      </c>
      <c r="K121" s="209">
        <v>483000</v>
      </c>
      <c r="L121" s="210"/>
      <c r="M121" s="186">
        <f t="shared" si="66"/>
        <v>483000</v>
      </c>
      <c r="N121" s="194"/>
      <c r="O121" s="187">
        <v>390000</v>
      </c>
      <c r="P121" s="187">
        <f>M121+N121</f>
        <v>483000</v>
      </c>
      <c r="Q121" s="188">
        <v>190000</v>
      </c>
      <c r="R121" s="188">
        <v>150000</v>
      </c>
      <c r="S121" s="196">
        <v>469000</v>
      </c>
      <c r="T121" s="197">
        <v>775000</v>
      </c>
      <c r="U121" s="197">
        <v>623000</v>
      </c>
      <c r="V121" s="218">
        <v>300000</v>
      </c>
      <c r="W121" s="196">
        <f aca="true" t="shared" si="67" ref="W121:W126">SUM(O121:V121)-Q121</f>
        <v>3190000</v>
      </c>
      <c r="X121" s="196">
        <v>3150000</v>
      </c>
      <c r="Y121" s="196">
        <f aca="true" t="shared" si="68" ref="Y121:Y126">W121-X121</f>
        <v>40000</v>
      </c>
    </row>
    <row r="122" spans="1:25" s="191" customFormat="1" ht="11.25">
      <c r="A122" s="176" t="s">
        <v>61</v>
      </c>
      <c r="B122" s="177">
        <v>3</v>
      </c>
      <c r="C122" s="178" t="s">
        <v>32</v>
      </c>
      <c r="D122" s="179" t="s">
        <v>68</v>
      </c>
      <c r="E122" s="205">
        <v>110000</v>
      </c>
      <c r="F122" s="206"/>
      <c r="G122" s="182">
        <f t="shared" si="64"/>
        <v>110000</v>
      </c>
      <c r="H122" s="208">
        <v>220000</v>
      </c>
      <c r="I122" s="206"/>
      <c r="J122" s="184">
        <f t="shared" si="65"/>
        <v>220000</v>
      </c>
      <c r="K122" s="209">
        <v>333000</v>
      </c>
      <c r="L122" s="210"/>
      <c r="M122" s="186">
        <f t="shared" si="66"/>
        <v>333000</v>
      </c>
      <c r="N122" s="194"/>
      <c r="O122" s="187">
        <v>390000</v>
      </c>
      <c r="P122" s="187">
        <f>M122+N122</f>
        <v>333000</v>
      </c>
      <c r="Q122" s="188">
        <v>340000</v>
      </c>
      <c r="R122" s="188">
        <v>300000</v>
      </c>
      <c r="S122" s="196">
        <v>469000</v>
      </c>
      <c r="T122" s="197">
        <v>775000</v>
      </c>
      <c r="U122" s="197">
        <v>623000</v>
      </c>
      <c r="V122" s="218">
        <v>300000</v>
      </c>
      <c r="W122" s="196">
        <f t="shared" si="67"/>
        <v>3190000</v>
      </c>
      <c r="X122" s="196">
        <v>3150000</v>
      </c>
      <c r="Y122" s="196">
        <f t="shared" si="68"/>
        <v>40000</v>
      </c>
    </row>
    <row r="123" spans="1:25" s="191" customFormat="1" ht="11.25">
      <c r="A123" s="176" t="s">
        <v>61</v>
      </c>
      <c r="B123" s="177">
        <v>3</v>
      </c>
      <c r="C123" s="178" t="s">
        <v>69</v>
      </c>
      <c r="D123" s="179" t="s">
        <v>70</v>
      </c>
      <c r="E123" s="205">
        <v>334600</v>
      </c>
      <c r="F123" s="206"/>
      <c r="G123" s="182">
        <f t="shared" si="64"/>
        <v>334600</v>
      </c>
      <c r="H123" s="208">
        <v>547500</v>
      </c>
      <c r="I123" s="206"/>
      <c r="J123" s="184">
        <f t="shared" si="65"/>
        <v>547500</v>
      </c>
      <c r="K123" s="209">
        <v>1240900</v>
      </c>
      <c r="L123" s="210"/>
      <c r="M123" s="186">
        <f t="shared" si="66"/>
        <v>1240900</v>
      </c>
      <c r="N123" s="194"/>
      <c r="O123" s="187">
        <v>1064523</v>
      </c>
      <c r="P123" s="187">
        <v>1240900</v>
      </c>
      <c r="Q123" s="188">
        <v>806000</v>
      </c>
      <c r="R123" s="188">
        <v>684400</v>
      </c>
      <c r="S123" s="196">
        <v>1426500</v>
      </c>
      <c r="T123" s="197">
        <v>2357100</v>
      </c>
      <c r="U123" s="197">
        <v>1894800</v>
      </c>
      <c r="V123" s="218">
        <v>912500</v>
      </c>
      <c r="W123" s="196">
        <f t="shared" si="67"/>
        <v>9580723</v>
      </c>
      <c r="X123" s="196">
        <v>9580410</v>
      </c>
      <c r="Y123" s="196">
        <f t="shared" si="68"/>
        <v>313</v>
      </c>
    </row>
    <row r="124" spans="1:25" s="191" customFormat="1" ht="13.5" customHeight="1">
      <c r="A124" s="176" t="s">
        <v>61</v>
      </c>
      <c r="B124" s="177" t="s">
        <v>27</v>
      </c>
      <c r="C124" s="178" t="s">
        <v>66</v>
      </c>
      <c r="D124" s="179" t="s">
        <v>218</v>
      </c>
      <c r="E124" s="205">
        <v>110000</v>
      </c>
      <c r="F124" s="206"/>
      <c r="G124" s="182">
        <f t="shared" si="64"/>
        <v>110000</v>
      </c>
      <c r="H124" s="208">
        <v>220000</v>
      </c>
      <c r="I124" s="206"/>
      <c r="J124" s="184">
        <f t="shared" si="65"/>
        <v>220000</v>
      </c>
      <c r="K124" s="209">
        <v>483000</v>
      </c>
      <c r="L124" s="210"/>
      <c r="M124" s="186">
        <f t="shared" si="66"/>
        <v>483000</v>
      </c>
      <c r="N124" s="194"/>
      <c r="O124" s="187">
        <v>390000</v>
      </c>
      <c r="P124" s="187" t="s">
        <v>219</v>
      </c>
      <c r="Q124" s="188" t="s">
        <v>219</v>
      </c>
      <c r="R124" s="188" t="s">
        <v>219</v>
      </c>
      <c r="S124" s="196">
        <v>40000</v>
      </c>
      <c r="T124" s="197">
        <v>50000</v>
      </c>
      <c r="U124" s="197">
        <v>66000</v>
      </c>
      <c r="V124" s="218">
        <v>300000</v>
      </c>
      <c r="W124" s="196" t="e">
        <f t="shared" si="67"/>
        <v>#VALUE!</v>
      </c>
      <c r="X124" s="196">
        <v>3150000</v>
      </c>
      <c r="Y124" s="196" t="e">
        <f t="shared" si="68"/>
        <v>#VALUE!</v>
      </c>
    </row>
    <row r="125" spans="1:25" s="191" customFormat="1" ht="11.25">
      <c r="A125" s="176" t="s">
        <v>61</v>
      </c>
      <c r="B125" s="177" t="s">
        <v>27</v>
      </c>
      <c r="C125" s="178" t="s">
        <v>32</v>
      </c>
      <c r="D125" s="179" t="s">
        <v>220</v>
      </c>
      <c r="E125" s="205">
        <v>110000</v>
      </c>
      <c r="F125" s="206"/>
      <c r="G125" s="182">
        <f t="shared" si="64"/>
        <v>110000</v>
      </c>
      <c r="H125" s="208">
        <v>220000</v>
      </c>
      <c r="I125" s="206"/>
      <c r="J125" s="184">
        <f t="shared" si="65"/>
        <v>220000</v>
      </c>
      <c r="K125" s="209">
        <v>333000</v>
      </c>
      <c r="L125" s="210"/>
      <c r="M125" s="186">
        <f t="shared" si="66"/>
        <v>333000</v>
      </c>
      <c r="N125" s="194"/>
      <c r="O125" s="187">
        <v>390000</v>
      </c>
      <c r="P125" s="187" t="s">
        <v>219</v>
      </c>
      <c r="Q125" s="188" t="s">
        <v>219</v>
      </c>
      <c r="R125" s="188" t="s">
        <v>219</v>
      </c>
      <c r="S125" s="196">
        <v>40000</v>
      </c>
      <c r="T125" s="197">
        <v>50000</v>
      </c>
      <c r="U125" s="197">
        <v>66000</v>
      </c>
      <c r="V125" s="218">
        <v>300000</v>
      </c>
      <c r="W125" s="196" t="e">
        <f t="shared" si="67"/>
        <v>#VALUE!</v>
      </c>
      <c r="X125" s="196">
        <v>3150000</v>
      </c>
      <c r="Y125" s="196" t="e">
        <f t="shared" si="68"/>
        <v>#VALUE!</v>
      </c>
    </row>
    <row r="126" spans="1:25" s="191" customFormat="1" ht="11.25">
      <c r="A126" s="176" t="s">
        <v>61</v>
      </c>
      <c r="B126" s="177" t="s">
        <v>27</v>
      </c>
      <c r="C126" s="178" t="s">
        <v>69</v>
      </c>
      <c r="D126" s="179" t="s">
        <v>221</v>
      </c>
      <c r="E126" s="205">
        <v>334600</v>
      </c>
      <c r="F126" s="206"/>
      <c r="G126" s="182">
        <f t="shared" si="64"/>
        <v>334600</v>
      </c>
      <c r="H126" s="208">
        <v>547500</v>
      </c>
      <c r="I126" s="206"/>
      <c r="J126" s="184">
        <f t="shared" si="65"/>
        <v>547500</v>
      </c>
      <c r="K126" s="209">
        <v>1240900</v>
      </c>
      <c r="L126" s="210"/>
      <c r="M126" s="186">
        <f t="shared" si="66"/>
        <v>1240900</v>
      </c>
      <c r="N126" s="194"/>
      <c r="O126" s="187">
        <v>1064523</v>
      </c>
      <c r="P126" s="187" t="s">
        <v>219</v>
      </c>
      <c r="Q126" s="188" t="s">
        <v>219</v>
      </c>
      <c r="R126" s="188" t="s">
        <v>219</v>
      </c>
      <c r="S126" s="196">
        <v>121700</v>
      </c>
      <c r="T126" s="197">
        <v>152100</v>
      </c>
      <c r="U126" s="197">
        <v>200800</v>
      </c>
      <c r="V126" s="218">
        <v>912500</v>
      </c>
      <c r="W126" s="196" t="e">
        <f t="shared" si="67"/>
        <v>#VALUE!</v>
      </c>
      <c r="X126" s="196">
        <v>9580410</v>
      </c>
      <c r="Y126" s="196" t="e">
        <f t="shared" si="68"/>
        <v>#VALUE!</v>
      </c>
    </row>
    <row r="127" spans="1:21" s="7" customFormat="1" ht="27.75" customHeight="1">
      <c r="A127" s="8">
        <v>610</v>
      </c>
      <c r="B127" s="9">
        <v>4</v>
      </c>
      <c r="C127" s="10">
        <v>9500</v>
      </c>
      <c r="D127" s="11" t="s">
        <v>149</v>
      </c>
      <c r="E127" s="12"/>
      <c r="F127" s="13"/>
      <c r="G127" s="23"/>
      <c r="H127" s="64"/>
      <c r="I127" s="13"/>
      <c r="J127" s="70">
        <v>0</v>
      </c>
      <c r="K127" s="26">
        <v>1500</v>
      </c>
      <c r="L127" s="113"/>
      <c r="M127" s="24">
        <f t="shared" si="66"/>
        <v>1500</v>
      </c>
      <c r="N127" s="118"/>
      <c r="O127" s="118"/>
      <c r="P127" s="134">
        <f>M127+N127</f>
        <v>1500</v>
      </c>
      <c r="Q127" s="161"/>
      <c r="R127" s="161"/>
      <c r="S127" s="143"/>
      <c r="T127" s="131"/>
      <c r="U127" s="131"/>
    </row>
    <row r="128" spans="1:21" s="7" customFormat="1" ht="11.25">
      <c r="A128" s="8"/>
      <c r="B128" s="9"/>
      <c r="C128" s="10"/>
      <c r="D128" s="18" t="s">
        <v>13</v>
      </c>
      <c r="E128" s="19" t="e">
        <f>SUM(E119+#REF!+#REF!+#REF!+#REF!+E121+E122)</f>
        <v>#REF!</v>
      </c>
      <c r="F128" s="20" t="e">
        <f>SUM(F119+#REF!+#REF!+#REF!+#REF!+F121+F122)</f>
        <v>#REF!</v>
      </c>
      <c r="G128" s="58">
        <f aca="true" t="shared" si="69" ref="G128:N128">SUM(G119+G121+G122)</f>
        <v>393700</v>
      </c>
      <c r="H128" s="62">
        <f t="shared" si="69"/>
        <v>490000</v>
      </c>
      <c r="I128" s="20">
        <f t="shared" si="69"/>
        <v>0</v>
      </c>
      <c r="J128" s="63">
        <f t="shared" si="69"/>
        <v>490000</v>
      </c>
      <c r="K128" s="21">
        <f t="shared" si="69"/>
        <v>866000</v>
      </c>
      <c r="L128" s="25"/>
      <c r="M128" s="25">
        <f t="shared" si="69"/>
        <v>866000</v>
      </c>
      <c r="N128" s="25">
        <f t="shared" si="69"/>
        <v>0</v>
      </c>
      <c r="O128" s="25"/>
      <c r="P128" s="133">
        <f aca="true" t="shared" si="70" ref="P128:U128">SUM(P119+P121+P122)</f>
        <v>866000</v>
      </c>
      <c r="Q128" s="163">
        <f t="shared" si="70"/>
        <v>530000</v>
      </c>
      <c r="R128" s="163">
        <f t="shared" si="70"/>
        <v>450000</v>
      </c>
      <c r="S128" s="145">
        <f t="shared" si="70"/>
        <v>938000</v>
      </c>
      <c r="T128" s="135">
        <f t="shared" si="70"/>
        <v>1550000</v>
      </c>
      <c r="U128" s="135">
        <f t="shared" si="70"/>
        <v>1246000</v>
      </c>
    </row>
    <row r="129" spans="1:21" s="7" customFormat="1" ht="11.25">
      <c r="A129" s="8"/>
      <c r="B129" s="9"/>
      <c r="C129" s="10"/>
      <c r="D129" s="18" t="s">
        <v>14</v>
      </c>
      <c r="E129" s="19" t="e">
        <f>SUM(#REF!+E120+#REF!+#REF!+E123)</f>
        <v>#REF!</v>
      </c>
      <c r="F129" s="20" t="e">
        <f>SUM(#REF!+F120+#REF!+#REF!+F123)</f>
        <v>#REF!</v>
      </c>
      <c r="G129" s="58">
        <f>SUM(G120+G123)</f>
        <v>364600</v>
      </c>
      <c r="H129" s="62">
        <f>SUM(H120+H123)</f>
        <v>577500</v>
      </c>
      <c r="I129" s="20">
        <f>SUM(I120+I123)</f>
        <v>0</v>
      </c>
      <c r="J129" s="63">
        <f>SUM(J120+J123+J127)</f>
        <v>577500</v>
      </c>
      <c r="K129" s="21">
        <f>SUM(+K120+K123+K127)</f>
        <v>1272400</v>
      </c>
      <c r="L129" s="25"/>
      <c r="M129" s="25">
        <f aca="true" t="shared" si="71" ref="M129:T129">SUM(+M120+M123+M127)</f>
        <v>1272400</v>
      </c>
      <c r="N129" s="25">
        <f t="shared" si="71"/>
        <v>0</v>
      </c>
      <c r="O129" s="25"/>
      <c r="P129" s="133">
        <f t="shared" si="71"/>
        <v>1272400</v>
      </c>
      <c r="Q129" s="163">
        <f t="shared" si="71"/>
        <v>836000</v>
      </c>
      <c r="R129" s="163">
        <f>SUM(+R120+R123+R127)</f>
        <v>714400</v>
      </c>
      <c r="S129" s="145">
        <f t="shared" si="71"/>
        <v>1456500</v>
      </c>
      <c r="T129" s="135">
        <f t="shared" si="71"/>
        <v>2387100</v>
      </c>
      <c r="U129" s="135">
        <f>SUM(+U120+U123+U127)</f>
        <v>1924800</v>
      </c>
    </row>
    <row r="130" spans="1:21" s="7" customFormat="1" ht="11.25">
      <c r="A130" s="8"/>
      <c r="B130" s="9"/>
      <c r="C130" s="10"/>
      <c r="D130" s="18" t="s">
        <v>15</v>
      </c>
      <c r="E130" s="19" t="e">
        <f aca="true" t="shared" si="72" ref="E130:N130">E128-E129</f>
        <v>#REF!</v>
      </c>
      <c r="F130" s="20" t="e">
        <f>F128-F129</f>
        <v>#REF!</v>
      </c>
      <c r="G130" s="58">
        <f>G128-G129</f>
        <v>29100</v>
      </c>
      <c r="H130" s="62">
        <f t="shared" si="72"/>
        <v>-87500</v>
      </c>
      <c r="I130" s="20">
        <f>I128-I129</f>
        <v>0</v>
      </c>
      <c r="J130" s="63">
        <f>J128-J129</f>
        <v>-87500</v>
      </c>
      <c r="K130" s="21">
        <f t="shared" si="72"/>
        <v>-406400</v>
      </c>
      <c r="L130" s="25"/>
      <c r="M130" s="25">
        <f t="shared" si="72"/>
        <v>-406400</v>
      </c>
      <c r="N130" s="25">
        <f t="shared" si="72"/>
        <v>0</v>
      </c>
      <c r="O130" s="25"/>
      <c r="P130" s="133">
        <f aca="true" t="shared" si="73" ref="P130:U130">P128-P129</f>
        <v>-406400</v>
      </c>
      <c r="Q130" s="163">
        <f t="shared" si="73"/>
        <v>-306000</v>
      </c>
      <c r="R130" s="163">
        <f t="shared" si="73"/>
        <v>-264400</v>
      </c>
      <c r="S130" s="145">
        <f t="shared" si="73"/>
        <v>-518500</v>
      </c>
      <c r="T130" s="135">
        <f t="shared" si="73"/>
        <v>-837100</v>
      </c>
      <c r="U130" s="135">
        <f t="shared" si="73"/>
        <v>-678800</v>
      </c>
    </row>
    <row r="131" spans="1:21" s="7" customFormat="1" ht="13.5" customHeight="1">
      <c r="A131" s="99" t="s">
        <v>71</v>
      </c>
      <c r="B131" s="9"/>
      <c r="C131" s="10"/>
      <c r="D131" s="15" t="s">
        <v>72</v>
      </c>
      <c r="E131" s="19"/>
      <c r="F131" s="20"/>
      <c r="G131" s="58"/>
      <c r="H131" s="62"/>
      <c r="I131" s="20"/>
      <c r="J131" s="63"/>
      <c r="K131" s="21"/>
      <c r="L131" s="25"/>
      <c r="M131" s="24"/>
      <c r="N131" s="118"/>
      <c r="O131" s="118"/>
      <c r="P131" s="133"/>
      <c r="Q131" s="161"/>
      <c r="R131" s="161"/>
      <c r="S131" s="143"/>
      <c r="T131" s="131"/>
      <c r="U131" s="131"/>
    </row>
    <row r="132" spans="1:21" s="7" customFormat="1" ht="11.25">
      <c r="A132" s="8" t="s">
        <v>73</v>
      </c>
      <c r="B132" s="9"/>
      <c r="C132" s="10" t="s">
        <v>74</v>
      </c>
      <c r="D132" s="11" t="s">
        <v>75</v>
      </c>
      <c r="E132" s="12">
        <v>23700</v>
      </c>
      <c r="F132" s="13"/>
      <c r="G132" s="23">
        <f>SUM(E132:F132)</f>
        <v>23700</v>
      </c>
      <c r="H132" s="64">
        <v>23700</v>
      </c>
      <c r="I132" s="13"/>
      <c r="J132" s="70">
        <f>SUM(H132:I132)</f>
        <v>23700</v>
      </c>
      <c r="K132" s="26">
        <v>23700</v>
      </c>
      <c r="L132" s="113"/>
      <c r="M132" s="24">
        <f>K132</f>
        <v>23700</v>
      </c>
      <c r="N132" s="118"/>
      <c r="O132" s="118"/>
      <c r="P132" s="134">
        <f>M132+N132</f>
        <v>23700</v>
      </c>
      <c r="Q132" s="162">
        <v>23700</v>
      </c>
      <c r="R132" s="149">
        <v>24200</v>
      </c>
      <c r="S132" s="162">
        <v>24000</v>
      </c>
      <c r="T132" s="162">
        <v>24000</v>
      </c>
      <c r="U132" s="162">
        <v>24000</v>
      </c>
    </row>
    <row r="133" spans="1:25" s="7" customFormat="1" ht="11.25">
      <c r="A133" s="8" t="s">
        <v>73</v>
      </c>
      <c r="B133" s="9"/>
      <c r="C133" s="10" t="s">
        <v>76</v>
      </c>
      <c r="D133" s="11" t="s">
        <v>77</v>
      </c>
      <c r="E133" s="12">
        <v>12000</v>
      </c>
      <c r="F133" s="13"/>
      <c r="G133" s="23">
        <f>SUM(E133:F133)</f>
        <v>12000</v>
      </c>
      <c r="H133" s="64">
        <v>12000</v>
      </c>
      <c r="I133" s="13"/>
      <c r="J133" s="70">
        <f>SUM(H133:I133)</f>
        <v>12000</v>
      </c>
      <c r="K133" s="26">
        <v>12000</v>
      </c>
      <c r="L133" s="113"/>
      <c r="M133" s="24">
        <f>K133</f>
        <v>12000</v>
      </c>
      <c r="N133" s="118"/>
      <c r="O133" s="118"/>
      <c r="P133" s="134">
        <f>M133+N133</f>
        <v>12000</v>
      </c>
      <c r="Q133" s="162">
        <v>12000</v>
      </c>
      <c r="R133" s="162">
        <v>12000</v>
      </c>
      <c r="S133" s="144">
        <v>12000</v>
      </c>
      <c r="T133" s="132">
        <v>12000</v>
      </c>
      <c r="U133" s="132">
        <v>12000</v>
      </c>
      <c r="X133" s="7">
        <v>76035</v>
      </c>
      <c r="Y133" s="7">
        <v>516003</v>
      </c>
    </row>
    <row r="134" spans="1:25" s="7" customFormat="1" ht="11.25">
      <c r="A134" s="8"/>
      <c r="B134" s="9"/>
      <c r="C134" s="10"/>
      <c r="D134" s="18" t="s">
        <v>13</v>
      </c>
      <c r="E134" s="19">
        <f aca="true" t="shared" si="74" ref="E134:N134">SUM(E132:E132)</f>
        <v>23700</v>
      </c>
      <c r="F134" s="20">
        <f t="shared" si="74"/>
        <v>0</v>
      </c>
      <c r="G134" s="58">
        <f t="shared" si="74"/>
        <v>23700</v>
      </c>
      <c r="H134" s="62">
        <f t="shared" si="74"/>
        <v>23700</v>
      </c>
      <c r="I134" s="20">
        <f t="shared" si="74"/>
        <v>0</v>
      </c>
      <c r="J134" s="63">
        <f t="shared" si="74"/>
        <v>23700</v>
      </c>
      <c r="K134" s="21">
        <f t="shared" si="74"/>
        <v>23700</v>
      </c>
      <c r="L134" s="25"/>
      <c r="M134" s="25">
        <f t="shared" si="74"/>
        <v>23700</v>
      </c>
      <c r="N134" s="25">
        <f t="shared" si="74"/>
        <v>0</v>
      </c>
      <c r="O134" s="25"/>
      <c r="P134" s="133">
        <f aca="true" t="shared" si="75" ref="P134:U134">SUM(P132:P132)</f>
        <v>23700</v>
      </c>
      <c r="Q134" s="163">
        <f t="shared" si="75"/>
        <v>23700</v>
      </c>
      <c r="R134" s="163">
        <f t="shared" si="75"/>
        <v>24200</v>
      </c>
      <c r="S134" s="145">
        <f t="shared" si="75"/>
        <v>24000</v>
      </c>
      <c r="T134" s="135">
        <f t="shared" si="75"/>
        <v>24000</v>
      </c>
      <c r="U134" s="135">
        <f t="shared" si="75"/>
        <v>24000</v>
      </c>
      <c r="X134" s="7">
        <v>106449</v>
      </c>
      <c r="Y134" s="7">
        <v>547500</v>
      </c>
    </row>
    <row r="135" spans="1:24" s="7" customFormat="1" ht="11.25">
      <c r="A135" s="8"/>
      <c r="B135" s="9"/>
      <c r="C135" s="10"/>
      <c r="D135" s="18" t="s">
        <v>14</v>
      </c>
      <c r="E135" s="19">
        <f aca="true" t="shared" si="76" ref="E135:N135">SUM(E133)</f>
        <v>12000</v>
      </c>
      <c r="F135" s="20">
        <f>SUM(F133)</f>
        <v>0</v>
      </c>
      <c r="G135" s="58">
        <f>SUM(G133)</f>
        <v>12000</v>
      </c>
      <c r="H135" s="62">
        <f t="shared" si="76"/>
        <v>12000</v>
      </c>
      <c r="I135" s="20">
        <f>SUM(I133)</f>
        <v>0</v>
      </c>
      <c r="J135" s="63">
        <f>SUM(J133)</f>
        <v>12000</v>
      </c>
      <c r="K135" s="21">
        <f t="shared" si="76"/>
        <v>12000</v>
      </c>
      <c r="L135" s="25"/>
      <c r="M135" s="25">
        <f t="shared" si="76"/>
        <v>12000</v>
      </c>
      <c r="N135" s="25">
        <f t="shared" si="76"/>
        <v>0</v>
      </c>
      <c r="O135" s="25"/>
      <c r="P135" s="133">
        <f aca="true" t="shared" si="77" ref="P135:U135">SUM(P133)</f>
        <v>12000</v>
      </c>
      <c r="Q135" s="163">
        <f t="shared" si="77"/>
        <v>12000</v>
      </c>
      <c r="R135" s="163">
        <f t="shared" si="77"/>
        <v>12000</v>
      </c>
      <c r="S135" s="145">
        <f t="shared" si="77"/>
        <v>12000</v>
      </c>
      <c r="T135" s="135">
        <f t="shared" si="77"/>
        <v>12000</v>
      </c>
      <c r="U135" s="135">
        <f t="shared" si="77"/>
        <v>12000</v>
      </c>
      <c r="X135" s="7">
        <v>334554</v>
      </c>
    </row>
    <row r="136" spans="1:24" s="7" customFormat="1" ht="11.25">
      <c r="A136" s="8"/>
      <c r="B136" s="9"/>
      <c r="C136" s="10"/>
      <c r="D136" s="18" t="s">
        <v>15</v>
      </c>
      <c r="E136" s="19">
        <f aca="true" t="shared" si="78" ref="E136:K136">E134-E135</f>
        <v>11700</v>
      </c>
      <c r="F136" s="20">
        <f>F134-F135</f>
        <v>0</v>
      </c>
      <c r="G136" s="58">
        <f>G134-G135</f>
        <v>11700</v>
      </c>
      <c r="H136" s="62">
        <f t="shared" si="78"/>
        <v>11700</v>
      </c>
      <c r="I136" s="20">
        <f>I134-I135</f>
        <v>0</v>
      </c>
      <c r="J136" s="63">
        <f>J134-J135</f>
        <v>11700</v>
      </c>
      <c r="K136" s="21">
        <f t="shared" si="78"/>
        <v>11700</v>
      </c>
      <c r="L136" s="25"/>
      <c r="M136" s="25">
        <f aca="true" t="shared" si="79" ref="M136:U136">M134-M135</f>
        <v>11700</v>
      </c>
      <c r="N136" s="25">
        <f t="shared" si="79"/>
        <v>0</v>
      </c>
      <c r="O136" s="25"/>
      <c r="P136" s="133">
        <f t="shared" si="79"/>
        <v>11700</v>
      </c>
      <c r="Q136" s="163">
        <f t="shared" si="79"/>
        <v>11700</v>
      </c>
      <c r="R136" s="163">
        <f>R134-R135</f>
        <v>12200</v>
      </c>
      <c r="S136" s="145">
        <f t="shared" si="79"/>
        <v>12000</v>
      </c>
      <c r="T136" s="135">
        <f t="shared" si="79"/>
        <v>12000</v>
      </c>
      <c r="U136" s="135">
        <f t="shared" si="79"/>
        <v>12000</v>
      </c>
      <c r="X136" s="7">
        <v>547485</v>
      </c>
    </row>
    <row r="137" spans="1:21" s="7" customFormat="1" ht="13.5" customHeight="1">
      <c r="A137" s="99" t="s">
        <v>78</v>
      </c>
      <c r="B137" s="9"/>
      <c r="C137" s="10"/>
      <c r="D137" s="15" t="s">
        <v>79</v>
      </c>
      <c r="E137" s="19"/>
      <c r="F137" s="20"/>
      <c r="G137" s="58"/>
      <c r="H137" s="62"/>
      <c r="I137" s="20"/>
      <c r="J137" s="63"/>
      <c r="K137" s="21"/>
      <c r="L137" s="25"/>
      <c r="M137" s="24"/>
      <c r="N137" s="118"/>
      <c r="O137" s="118"/>
      <c r="P137" s="133"/>
      <c r="Q137" s="161"/>
      <c r="R137" s="161"/>
      <c r="S137" s="143"/>
      <c r="T137" s="131"/>
      <c r="U137" s="131"/>
    </row>
    <row r="138" spans="1:25" s="191" customFormat="1" ht="13.5" customHeight="1">
      <c r="A138" s="176">
        <v>630</v>
      </c>
      <c r="B138" s="177"/>
      <c r="C138" s="178">
        <v>3520</v>
      </c>
      <c r="D138" s="179" t="s">
        <v>190</v>
      </c>
      <c r="E138" s="198"/>
      <c r="F138" s="199"/>
      <c r="G138" s="200"/>
      <c r="H138" s="201"/>
      <c r="I138" s="199"/>
      <c r="J138" s="202"/>
      <c r="K138" s="203"/>
      <c r="L138" s="204"/>
      <c r="M138" s="186"/>
      <c r="N138" s="194"/>
      <c r="O138" s="194"/>
      <c r="P138" s="219"/>
      <c r="Q138" s="195"/>
      <c r="R138" s="188">
        <v>31700</v>
      </c>
      <c r="S138" s="189"/>
      <c r="T138" s="190"/>
      <c r="U138" s="190"/>
      <c r="X138" s="191">
        <f>SUM(X133:X137)</f>
        <v>1064523</v>
      </c>
      <c r="Y138" s="191">
        <f>SUM(Y133:Y137)</f>
        <v>1063503</v>
      </c>
    </row>
    <row r="139" spans="1:21" s="191" customFormat="1" ht="11.25">
      <c r="A139" s="176" t="s">
        <v>80</v>
      </c>
      <c r="B139" s="177">
        <v>8</v>
      </c>
      <c r="C139" s="178" t="s">
        <v>81</v>
      </c>
      <c r="D139" s="179" t="s">
        <v>82</v>
      </c>
      <c r="E139" s="205">
        <v>10000</v>
      </c>
      <c r="F139" s="206"/>
      <c r="G139" s="182">
        <f aca="true" t="shared" si="80" ref="G139:G157">SUM(E139:F139)</f>
        <v>10000</v>
      </c>
      <c r="H139" s="208">
        <v>287000</v>
      </c>
      <c r="I139" s="206"/>
      <c r="J139" s="184">
        <f>SUM(H139:I139)</f>
        <v>287000</v>
      </c>
      <c r="K139" s="209">
        <v>69000</v>
      </c>
      <c r="L139" s="210"/>
      <c r="M139" s="186">
        <f>K139</f>
        <v>69000</v>
      </c>
      <c r="N139" s="194"/>
      <c r="O139" s="194"/>
      <c r="P139" s="187">
        <f aca="true" t="shared" si="81" ref="P139:P162">M139+N139</f>
        <v>69000</v>
      </c>
      <c r="Q139" s="195"/>
      <c r="R139" s="188">
        <v>55000</v>
      </c>
      <c r="S139" s="189"/>
      <c r="T139" s="190"/>
      <c r="U139" s="190"/>
    </row>
    <row r="140" spans="1:21" s="191" customFormat="1" ht="11.25" customHeight="1">
      <c r="A140" s="176">
        <v>630</v>
      </c>
      <c r="B140" s="177" t="s">
        <v>27</v>
      </c>
      <c r="C140" s="178">
        <v>9500</v>
      </c>
      <c r="D140" s="179" t="s">
        <v>192</v>
      </c>
      <c r="E140" s="205">
        <v>0</v>
      </c>
      <c r="F140" s="206"/>
      <c r="G140" s="182">
        <f t="shared" si="80"/>
        <v>0</v>
      </c>
      <c r="H140" s="208">
        <v>0</v>
      </c>
      <c r="I140" s="206"/>
      <c r="J140" s="184">
        <f aca="true" t="shared" si="82" ref="J140:J159">SUM(H140:I140)</f>
        <v>0</v>
      </c>
      <c r="K140" s="209">
        <v>0</v>
      </c>
      <c r="L140" s="210"/>
      <c r="M140" s="186">
        <f>K140</f>
        <v>0</v>
      </c>
      <c r="N140" s="194"/>
      <c r="O140" s="194"/>
      <c r="P140" s="187">
        <f t="shared" si="81"/>
        <v>0</v>
      </c>
      <c r="Q140" s="195"/>
      <c r="R140" s="188">
        <v>40000</v>
      </c>
      <c r="S140" s="189"/>
      <c r="T140" s="190"/>
      <c r="U140" s="190"/>
    </row>
    <row r="141" spans="1:21" s="191" customFormat="1" ht="11.25" customHeight="1">
      <c r="A141" s="176">
        <v>630</v>
      </c>
      <c r="B141" s="177" t="s">
        <v>27</v>
      </c>
      <c r="C141" s="178">
        <v>9500</v>
      </c>
      <c r="D141" s="179" t="s">
        <v>193</v>
      </c>
      <c r="E141" s="205">
        <v>0</v>
      </c>
      <c r="F141" s="206"/>
      <c r="G141" s="182">
        <f t="shared" si="80"/>
        <v>0</v>
      </c>
      <c r="H141" s="208">
        <v>0</v>
      </c>
      <c r="I141" s="206"/>
      <c r="J141" s="184">
        <f t="shared" si="82"/>
        <v>0</v>
      </c>
      <c r="K141" s="209">
        <v>0</v>
      </c>
      <c r="L141" s="210"/>
      <c r="M141" s="186">
        <f>K141</f>
        <v>0</v>
      </c>
      <c r="N141" s="194"/>
      <c r="O141" s="194"/>
      <c r="P141" s="187">
        <f t="shared" si="81"/>
        <v>0</v>
      </c>
      <c r="Q141" s="195"/>
      <c r="R141" s="188">
        <v>40000</v>
      </c>
      <c r="S141" s="189"/>
      <c r="T141" s="190"/>
      <c r="U141" s="190"/>
    </row>
    <row r="142" spans="1:22" s="191" customFormat="1" ht="11.25">
      <c r="A142" s="176">
        <v>630</v>
      </c>
      <c r="B142" s="177">
        <v>33</v>
      </c>
      <c r="C142" s="178">
        <v>9500</v>
      </c>
      <c r="D142" s="179" t="s">
        <v>84</v>
      </c>
      <c r="E142" s="205">
        <v>0</v>
      </c>
      <c r="F142" s="206"/>
      <c r="G142" s="182">
        <f t="shared" si="80"/>
        <v>0</v>
      </c>
      <c r="H142" s="208">
        <v>0</v>
      </c>
      <c r="I142" s="206"/>
      <c r="J142" s="184">
        <f t="shared" si="82"/>
        <v>0</v>
      </c>
      <c r="K142" s="209">
        <v>110000</v>
      </c>
      <c r="L142" s="210">
        <v>110000</v>
      </c>
      <c r="M142" s="220">
        <v>0</v>
      </c>
      <c r="N142" s="221"/>
      <c r="O142" s="222"/>
      <c r="P142" s="187">
        <f t="shared" si="81"/>
        <v>0</v>
      </c>
      <c r="Q142" s="195"/>
      <c r="R142" s="222">
        <v>0</v>
      </c>
      <c r="S142" s="189">
        <v>110000</v>
      </c>
      <c r="T142" s="190"/>
      <c r="U142" s="190"/>
      <c r="V142" s="191" t="s">
        <v>189</v>
      </c>
    </row>
    <row r="143" spans="1:21" s="191" customFormat="1" ht="11.25">
      <c r="A143" s="223" t="s">
        <v>80</v>
      </c>
      <c r="B143" s="224">
        <v>51</v>
      </c>
      <c r="C143" s="225" t="s">
        <v>66</v>
      </c>
      <c r="D143" s="226" t="s">
        <v>85</v>
      </c>
      <c r="E143" s="227">
        <v>375900</v>
      </c>
      <c r="F143" s="228">
        <f>261800+34000</f>
        <v>295800</v>
      </c>
      <c r="G143" s="229">
        <f t="shared" si="80"/>
        <v>671700</v>
      </c>
      <c r="H143" s="230">
        <v>249000</v>
      </c>
      <c r="I143" s="228">
        <f>186800+3900</f>
        <v>190700</v>
      </c>
      <c r="J143" s="231">
        <f t="shared" si="82"/>
        <v>439700</v>
      </c>
      <c r="K143" s="232">
        <f>805600+111400-3900</f>
        <v>913100</v>
      </c>
      <c r="L143" s="233"/>
      <c r="M143" s="186">
        <f aca="true" t="shared" si="83" ref="M143:M149">K143</f>
        <v>913100</v>
      </c>
      <c r="N143" s="194"/>
      <c r="O143" s="194"/>
      <c r="P143" s="234">
        <f t="shared" si="81"/>
        <v>913100</v>
      </c>
      <c r="Q143" s="235"/>
      <c r="R143" s="188">
        <v>150000</v>
      </c>
      <c r="S143" s="236"/>
      <c r="T143" s="237"/>
      <c r="U143" s="237"/>
    </row>
    <row r="144" spans="1:21" s="7" customFormat="1" ht="11.25">
      <c r="A144" s="8" t="s">
        <v>80</v>
      </c>
      <c r="B144" s="9">
        <v>51</v>
      </c>
      <c r="C144" s="10" t="s">
        <v>86</v>
      </c>
      <c r="D144" s="11" t="s">
        <v>87</v>
      </c>
      <c r="E144" s="12">
        <v>0</v>
      </c>
      <c r="F144" s="13">
        <v>79100</v>
      </c>
      <c r="G144" s="23">
        <f t="shared" si="80"/>
        <v>79100</v>
      </c>
      <c r="H144" s="64">
        <v>50000</v>
      </c>
      <c r="I144" s="13"/>
      <c r="J144" s="70">
        <f t="shared" si="82"/>
        <v>50000</v>
      </c>
      <c r="K144" s="26">
        <f>-648700+554600</f>
        <v>-94100</v>
      </c>
      <c r="L144" s="113"/>
      <c r="M144" s="24">
        <f t="shared" si="83"/>
        <v>-94100</v>
      </c>
      <c r="N144" s="118"/>
      <c r="O144" s="118"/>
      <c r="P144" s="134">
        <f t="shared" si="81"/>
        <v>-94100</v>
      </c>
      <c r="Q144" s="161"/>
      <c r="R144" s="161"/>
      <c r="S144" s="143"/>
      <c r="T144" s="131"/>
      <c r="U144" s="131"/>
    </row>
    <row r="145" spans="1:21" s="7" customFormat="1" ht="11.25">
      <c r="A145" s="8">
        <v>630</v>
      </c>
      <c r="B145" s="9">
        <v>51</v>
      </c>
      <c r="C145" s="10" t="s">
        <v>83</v>
      </c>
      <c r="D145" s="11" t="s">
        <v>88</v>
      </c>
      <c r="E145" s="12">
        <v>0</v>
      </c>
      <c r="F145" s="13"/>
      <c r="G145" s="23">
        <f t="shared" si="80"/>
        <v>0</v>
      </c>
      <c r="H145" s="64">
        <v>0</v>
      </c>
      <c r="I145" s="13"/>
      <c r="J145" s="70">
        <f t="shared" si="82"/>
        <v>0</v>
      </c>
      <c r="K145" s="26">
        <f>393900+36500+3900-45300</f>
        <v>389000</v>
      </c>
      <c r="L145" s="113"/>
      <c r="M145" s="24">
        <f t="shared" si="83"/>
        <v>389000</v>
      </c>
      <c r="N145" s="118"/>
      <c r="O145" s="118"/>
      <c r="P145" s="134">
        <f t="shared" si="81"/>
        <v>389000</v>
      </c>
      <c r="Q145" s="161"/>
      <c r="R145" s="161"/>
      <c r="S145" s="143"/>
      <c r="T145" s="131"/>
      <c r="U145" s="131"/>
    </row>
    <row r="146" spans="1:21" s="191" customFormat="1" ht="11.25">
      <c r="A146" s="238" t="s">
        <v>80</v>
      </c>
      <c r="B146" s="239">
        <v>51</v>
      </c>
      <c r="C146" s="240" t="s">
        <v>81</v>
      </c>
      <c r="D146" s="241" t="s">
        <v>160</v>
      </c>
      <c r="E146" s="242">
        <v>669400</v>
      </c>
      <c r="F146" s="243">
        <v>849800</v>
      </c>
      <c r="G146" s="244">
        <f t="shared" si="80"/>
        <v>1519200</v>
      </c>
      <c r="H146" s="245">
        <v>1053100</v>
      </c>
      <c r="I146" s="243"/>
      <c r="J146" s="246">
        <f>SUM(H146:I146)</f>
        <v>1053100</v>
      </c>
      <c r="K146" s="247">
        <f>20000+916900</f>
        <v>936900</v>
      </c>
      <c r="L146" s="248"/>
      <c r="M146" s="220">
        <f t="shared" si="83"/>
        <v>936900</v>
      </c>
      <c r="N146" s="221"/>
      <c r="O146" s="221"/>
      <c r="P146" s="249">
        <f t="shared" si="81"/>
        <v>936900</v>
      </c>
      <c r="Q146" s="250"/>
      <c r="R146" s="251">
        <v>300100</v>
      </c>
      <c r="S146" s="222"/>
      <c r="T146" s="252"/>
      <c r="U146" s="252"/>
    </row>
    <row r="147" spans="1:21" s="7" customFormat="1" ht="11.25" customHeight="1">
      <c r="A147" s="8">
        <v>630</v>
      </c>
      <c r="B147" s="9">
        <v>67</v>
      </c>
      <c r="C147" s="10">
        <v>9500</v>
      </c>
      <c r="D147" s="11" t="s">
        <v>89</v>
      </c>
      <c r="E147" s="12">
        <v>0</v>
      </c>
      <c r="F147" s="13"/>
      <c r="G147" s="23">
        <f t="shared" si="80"/>
        <v>0</v>
      </c>
      <c r="H147" s="64">
        <v>0</v>
      </c>
      <c r="I147" s="13"/>
      <c r="J147" s="70">
        <f t="shared" si="82"/>
        <v>0</v>
      </c>
      <c r="K147" s="26">
        <v>0</v>
      </c>
      <c r="L147" s="113"/>
      <c r="M147" s="24">
        <f t="shared" si="83"/>
        <v>0</v>
      </c>
      <c r="N147" s="118"/>
      <c r="O147" s="118"/>
      <c r="P147" s="134">
        <f t="shared" si="81"/>
        <v>0</v>
      </c>
      <c r="Q147" s="161"/>
      <c r="R147" s="161"/>
      <c r="S147" s="143"/>
      <c r="T147" s="131"/>
      <c r="U147" s="131"/>
    </row>
    <row r="148" spans="1:21" s="7" customFormat="1" ht="11.25" customHeight="1">
      <c r="A148" s="8">
        <v>630</v>
      </c>
      <c r="B148" s="9">
        <v>68</v>
      </c>
      <c r="C148" s="10">
        <v>9500</v>
      </c>
      <c r="D148" s="11" t="s">
        <v>90</v>
      </c>
      <c r="E148" s="12">
        <v>0</v>
      </c>
      <c r="F148" s="13"/>
      <c r="G148" s="23">
        <f t="shared" si="80"/>
        <v>0</v>
      </c>
      <c r="H148" s="64">
        <v>0</v>
      </c>
      <c r="I148" s="13"/>
      <c r="J148" s="70">
        <f t="shared" si="82"/>
        <v>0</v>
      </c>
      <c r="K148" s="26">
        <v>0</v>
      </c>
      <c r="L148" s="113"/>
      <c r="M148" s="24">
        <f t="shared" si="83"/>
        <v>0</v>
      </c>
      <c r="N148" s="118"/>
      <c r="O148" s="118"/>
      <c r="P148" s="134">
        <f t="shared" si="81"/>
        <v>0</v>
      </c>
      <c r="Q148" s="161"/>
      <c r="R148" s="161"/>
      <c r="S148" s="143"/>
      <c r="T148" s="131"/>
      <c r="U148" s="131"/>
    </row>
    <row r="149" spans="1:21" s="7" customFormat="1" ht="11.25" customHeight="1">
      <c r="A149" s="81"/>
      <c r="B149" s="82"/>
      <c r="C149" s="83" t="s">
        <v>83</v>
      </c>
      <c r="D149" s="84" t="s">
        <v>91</v>
      </c>
      <c r="E149" s="85">
        <v>0</v>
      </c>
      <c r="F149" s="86"/>
      <c r="G149" s="87">
        <f t="shared" si="80"/>
        <v>0</v>
      </c>
      <c r="H149" s="88">
        <v>0</v>
      </c>
      <c r="I149" s="86"/>
      <c r="J149" s="89">
        <f t="shared" si="82"/>
        <v>0</v>
      </c>
      <c r="K149" s="90">
        <v>0</v>
      </c>
      <c r="L149" s="115"/>
      <c r="M149" s="122">
        <f t="shared" si="83"/>
        <v>0</v>
      </c>
      <c r="N149" s="125"/>
      <c r="O149" s="125"/>
      <c r="P149" s="152">
        <f t="shared" si="81"/>
        <v>0</v>
      </c>
      <c r="Q149" s="164"/>
      <c r="R149" s="164"/>
      <c r="S149" s="130"/>
      <c r="T149" s="148"/>
      <c r="U149" s="148"/>
    </row>
    <row r="150" spans="1:21" s="7" customFormat="1" ht="0.75" customHeight="1">
      <c r="A150" s="8"/>
      <c r="B150" s="9"/>
      <c r="C150" s="10"/>
      <c r="D150" s="11"/>
      <c r="E150" s="12"/>
      <c r="F150" s="13"/>
      <c r="G150" s="23"/>
      <c r="H150" s="64"/>
      <c r="I150" s="13"/>
      <c r="J150" s="70"/>
      <c r="K150" s="26"/>
      <c r="L150" s="113"/>
      <c r="M150" s="24"/>
      <c r="N150" s="24"/>
      <c r="O150" s="24"/>
      <c r="P150" s="134"/>
      <c r="Q150" s="161"/>
      <c r="R150" s="161"/>
      <c r="S150" s="144"/>
      <c r="T150" s="131"/>
      <c r="U150" s="131"/>
    </row>
    <row r="151" spans="1:21" s="7" customFormat="1" ht="11.25" hidden="1">
      <c r="A151" s="8"/>
      <c r="B151" s="9"/>
      <c r="C151" s="10"/>
      <c r="D151" s="11"/>
      <c r="E151" s="12"/>
      <c r="F151" s="13"/>
      <c r="G151" s="23"/>
      <c r="H151" s="64"/>
      <c r="I151" s="13"/>
      <c r="J151" s="70"/>
      <c r="K151" s="26"/>
      <c r="L151" s="113"/>
      <c r="M151" s="24"/>
      <c r="N151" s="24"/>
      <c r="O151" s="24"/>
      <c r="P151" s="134"/>
      <c r="Q151" s="161"/>
      <c r="R151" s="161"/>
      <c r="S151" s="144"/>
      <c r="T151" s="131"/>
      <c r="U151" s="131"/>
    </row>
    <row r="152" spans="1:21" s="7" customFormat="1" ht="11.25" hidden="1">
      <c r="A152" s="8"/>
      <c r="B152" s="9"/>
      <c r="C152" s="10"/>
      <c r="D152" s="11"/>
      <c r="E152" s="12"/>
      <c r="F152" s="13"/>
      <c r="G152" s="23"/>
      <c r="H152" s="64"/>
      <c r="I152" s="13"/>
      <c r="J152" s="70"/>
      <c r="K152" s="26"/>
      <c r="L152" s="113"/>
      <c r="M152" s="24"/>
      <c r="N152" s="24"/>
      <c r="O152" s="24"/>
      <c r="P152" s="134"/>
      <c r="Q152" s="161"/>
      <c r="R152" s="161"/>
      <c r="S152" s="144"/>
      <c r="T152" s="131"/>
      <c r="U152" s="131"/>
    </row>
    <row r="153" spans="1:21" s="7" customFormat="1" ht="11.25" hidden="1">
      <c r="A153" s="8"/>
      <c r="B153" s="9"/>
      <c r="C153" s="10"/>
      <c r="D153" s="11"/>
      <c r="E153" s="12"/>
      <c r="F153" s="13"/>
      <c r="G153" s="23"/>
      <c r="H153" s="64"/>
      <c r="I153" s="13"/>
      <c r="J153" s="70"/>
      <c r="K153" s="26"/>
      <c r="L153" s="113"/>
      <c r="M153" s="24"/>
      <c r="N153" s="24"/>
      <c r="O153" s="24"/>
      <c r="P153" s="134"/>
      <c r="Q153" s="161"/>
      <c r="R153" s="161"/>
      <c r="S153" s="144"/>
      <c r="T153" s="131"/>
      <c r="U153" s="131"/>
    </row>
    <row r="154" spans="1:21" s="7" customFormat="1" ht="11.25" hidden="1">
      <c r="A154" s="8"/>
      <c r="B154" s="9"/>
      <c r="C154" s="10"/>
      <c r="D154" s="11"/>
      <c r="E154" s="12"/>
      <c r="F154" s="13"/>
      <c r="G154" s="23"/>
      <c r="H154" s="64"/>
      <c r="I154" s="13"/>
      <c r="J154" s="70"/>
      <c r="K154" s="26"/>
      <c r="L154" s="113"/>
      <c r="M154" s="24"/>
      <c r="N154" s="24"/>
      <c r="O154" s="24"/>
      <c r="P154" s="134"/>
      <c r="Q154" s="161"/>
      <c r="R154" s="161"/>
      <c r="S154" s="144"/>
      <c r="T154" s="131"/>
      <c r="U154" s="131"/>
    </row>
    <row r="155" spans="1:21" s="7" customFormat="1" ht="11.25" customHeight="1" hidden="1">
      <c r="A155" s="8">
        <v>630</v>
      </c>
      <c r="B155" s="9">
        <v>78</v>
      </c>
      <c r="C155" s="10">
        <v>9500</v>
      </c>
      <c r="D155" s="11" t="s">
        <v>92</v>
      </c>
      <c r="E155" s="12">
        <v>0</v>
      </c>
      <c r="F155" s="13"/>
      <c r="G155" s="23">
        <f t="shared" si="80"/>
        <v>0</v>
      </c>
      <c r="H155" s="64">
        <v>0</v>
      </c>
      <c r="I155" s="13"/>
      <c r="J155" s="70">
        <f t="shared" si="82"/>
        <v>0</v>
      </c>
      <c r="K155" s="26">
        <v>0</v>
      </c>
      <c r="L155" s="113"/>
      <c r="M155" s="24">
        <f>K155</f>
        <v>0</v>
      </c>
      <c r="N155" s="118"/>
      <c r="O155" s="118"/>
      <c r="P155" s="134">
        <f t="shared" si="81"/>
        <v>0</v>
      </c>
      <c r="Q155" s="161"/>
      <c r="R155" s="161"/>
      <c r="S155" s="143"/>
      <c r="T155" s="131"/>
      <c r="U155" s="131"/>
    </row>
    <row r="156" spans="1:21" s="7" customFormat="1" ht="11.25" customHeight="1" hidden="1">
      <c r="A156" s="8"/>
      <c r="B156" s="9"/>
      <c r="C156" s="10" t="s">
        <v>83</v>
      </c>
      <c r="D156" s="11" t="s">
        <v>93</v>
      </c>
      <c r="E156" s="12">
        <v>0</v>
      </c>
      <c r="F156" s="13"/>
      <c r="G156" s="23">
        <f t="shared" si="80"/>
        <v>0</v>
      </c>
      <c r="H156" s="64">
        <v>0</v>
      </c>
      <c r="I156" s="13"/>
      <c r="J156" s="70">
        <f t="shared" si="82"/>
        <v>0</v>
      </c>
      <c r="K156" s="26">
        <v>0</v>
      </c>
      <c r="L156" s="113"/>
      <c r="M156" s="24">
        <f>K156</f>
        <v>0</v>
      </c>
      <c r="N156" s="118"/>
      <c r="O156" s="118"/>
      <c r="P156" s="134">
        <f t="shared" si="81"/>
        <v>0</v>
      </c>
      <c r="Q156" s="161"/>
      <c r="R156" s="161"/>
      <c r="S156" s="143"/>
      <c r="T156" s="131"/>
      <c r="U156" s="131"/>
    </row>
    <row r="157" spans="1:21" s="191" customFormat="1" ht="13.5" customHeight="1">
      <c r="A157" s="176">
        <v>630</v>
      </c>
      <c r="B157" s="177">
        <v>81</v>
      </c>
      <c r="C157" s="178">
        <v>9500</v>
      </c>
      <c r="D157" s="179" t="s">
        <v>222</v>
      </c>
      <c r="E157" s="205">
        <v>0</v>
      </c>
      <c r="F157" s="206"/>
      <c r="G157" s="182">
        <f t="shared" si="80"/>
        <v>0</v>
      </c>
      <c r="H157" s="208">
        <v>0</v>
      </c>
      <c r="I157" s="206"/>
      <c r="J157" s="184">
        <f t="shared" si="82"/>
        <v>0</v>
      </c>
      <c r="K157" s="209">
        <v>200000</v>
      </c>
      <c r="L157" s="210"/>
      <c r="M157" s="186">
        <f>K157</f>
        <v>200000</v>
      </c>
      <c r="N157" s="194">
        <v>-200000</v>
      </c>
      <c r="O157" s="194"/>
      <c r="P157" s="187">
        <f t="shared" si="81"/>
        <v>0</v>
      </c>
      <c r="Q157" s="188">
        <v>0</v>
      </c>
      <c r="R157" s="188">
        <v>0</v>
      </c>
      <c r="S157" s="258"/>
      <c r="T157" s="190"/>
      <c r="U157" s="190"/>
    </row>
    <row r="158" spans="1:21" s="7" customFormat="1" ht="11.25">
      <c r="A158" s="8"/>
      <c r="B158" s="9">
        <v>81</v>
      </c>
      <c r="C158" s="10">
        <v>3600</v>
      </c>
      <c r="D158" s="11" t="s">
        <v>85</v>
      </c>
      <c r="E158" s="12"/>
      <c r="F158" s="13"/>
      <c r="G158" s="23"/>
      <c r="H158" s="64"/>
      <c r="I158" s="13"/>
      <c r="J158" s="70">
        <f t="shared" si="82"/>
        <v>0</v>
      </c>
      <c r="K158" s="26">
        <v>100000</v>
      </c>
      <c r="L158" s="113"/>
      <c r="M158" s="24">
        <f>K158</f>
        <v>100000</v>
      </c>
      <c r="N158" s="118">
        <v>-100000</v>
      </c>
      <c r="O158" s="118"/>
      <c r="P158" s="134">
        <f t="shared" si="81"/>
        <v>0</v>
      </c>
      <c r="Q158" s="162">
        <v>0</v>
      </c>
      <c r="R158" s="162">
        <v>0</v>
      </c>
      <c r="S158" s="143"/>
      <c r="T158" s="131"/>
      <c r="U158" s="131"/>
    </row>
    <row r="159" spans="1:21" s="7" customFormat="1" ht="11.25">
      <c r="A159" s="8"/>
      <c r="B159" s="9">
        <v>81</v>
      </c>
      <c r="C159" s="10">
        <v>3610</v>
      </c>
      <c r="D159" s="11" t="s">
        <v>94</v>
      </c>
      <c r="E159" s="12"/>
      <c r="F159" s="13"/>
      <c r="G159" s="23"/>
      <c r="H159" s="64"/>
      <c r="I159" s="13"/>
      <c r="J159" s="70">
        <f t="shared" si="82"/>
        <v>0</v>
      </c>
      <c r="K159" s="26">
        <v>100000</v>
      </c>
      <c r="L159" s="113"/>
      <c r="M159" s="24">
        <f>K159</f>
        <v>100000</v>
      </c>
      <c r="N159" s="118">
        <v>-100000</v>
      </c>
      <c r="O159" s="118"/>
      <c r="P159" s="134">
        <f t="shared" si="81"/>
        <v>0</v>
      </c>
      <c r="Q159" s="162">
        <v>0</v>
      </c>
      <c r="R159" s="162">
        <v>0</v>
      </c>
      <c r="S159" s="143"/>
      <c r="T159" s="131"/>
      <c r="U159" s="131"/>
    </row>
    <row r="160" spans="1:21" s="7" customFormat="1" ht="11.25">
      <c r="A160" s="8">
        <v>630</v>
      </c>
      <c r="B160" s="9" t="s">
        <v>27</v>
      </c>
      <c r="C160" s="10">
        <v>3610</v>
      </c>
      <c r="D160" s="11" t="s">
        <v>174</v>
      </c>
      <c r="E160" s="12"/>
      <c r="F160" s="13"/>
      <c r="G160" s="23"/>
      <c r="H160" s="64"/>
      <c r="I160" s="13"/>
      <c r="J160" s="70"/>
      <c r="K160" s="26"/>
      <c r="L160" s="113"/>
      <c r="M160" s="24"/>
      <c r="N160" s="118"/>
      <c r="O160" s="118"/>
      <c r="P160" s="134"/>
      <c r="Q160" s="162">
        <v>20000</v>
      </c>
      <c r="R160" s="162">
        <v>20000</v>
      </c>
      <c r="S160" s="143"/>
      <c r="T160" s="131"/>
      <c r="U160" s="131"/>
    </row>
    <row r="161" spans="1:21" s="7" customFormat="1" ht="11.25">
      <c r="A161" s="8">
        <v>630</v>
      </c>
      <c r="B161" s="9" t="s">
        <v>27</v>
      </c>
      <c r="C161" s="10">
        <v>9500</v>
      </c>
      <c r="D161" s="11" t="s">
        <v>175</v>
      </c>
      <c r="E161" s="12"/>
      <c r="F161" s="13"/>
      <c r="G161" s="23"/>
      <c r="H161" s="64"/>
      <c r="I161" s="13"/>
      <c r="J161" s="70"/>
      <c r="K161" s="26"/>
      <c r="L161" s="113"/>
      <c r="M161" s="24"/>
      <c r="N161" s="118"/>
      <c r="O161" s="118"/>
      <c r="P161" s="134"/>
      <c r="Q161" s="162">
        <v>50000</v>
      </c>
      <c r="R161" s="162">
        <v>50000</v>
      </c>
      <c r="S161" s="143"/>
      <c r="T161" s="131"/>
      <c r="U161" s="131"/>
    </row>
    <row r="162" spans="1:21" s="7" customFormat="1" ht="11.25">
      <c r="A162" s="8">
        <v>630</v>
      </c>
      <c r="B162" s="9">
        <v>87</v>
      </c>
      <c r="C162" s="10">
        <v>9500</v>
      </c>
      <c r="D162" s="11" t="s">
        <v>134</v>
      </c>
      <c r="E162" s="12"/>
      <c r="F162" s="13"/>
      <c r="G162" s="23"/>
      <c r="H162" s="64">
        <v>0</v>
      </c>
      <c r="I162" s="13"/>
      <c r="J162" s="70">
        <f>SUM(H162:I162)</f>
        <v>0</v>
      </c>
      <c r="K162" s="26">
        <v>500</v>
      </c>
      <c r="L162" s="113"/>
      <c r="M162" s="24">
        <v>500</v>
      </c>
      <c r="N162" s="118"/>
      <c r="O162" s="118"/>
      <c r="P162" s="134">
        <f t="shared" si="81"/>
        <v>500</v>
      </c>
      <c r="Q162" s="161"/>
      <c r="R162" s="161"/>
      <c r="S162" s="143"/>
      <c r="T162" s="131"/>
      <c r="U162" s="131"/>
    </row>
    <row r="163" spans="1:21" s="191" customFormat="1" ht="11.25">
      <c r="A163" s="176">
        <v>630</v>
      </c>
      <c r="B163" s="177" t="s">
        <v>27</v>
      </c>
      <c r="C163" s="178">
        <v>9500</v>
      </c>
      <c r="D163" s="179" t="s">
        <v>223</v>
      </c>
      <c r="E163" s="205"/>
      <c r="F163" s="206"/>
      <c r="G163" s="182"/>
      <c r="H163" s="208"/>
      <c r="I163" s="206"/>
      <c r="J163" s="184"/>
      <c r="K163" s="209"/>
      <c r="L163" s="210"/>
      <c r="M163" s="186"/>
      <c r="N163" s="194"/>
      <c r="O163" s="194"/>
      <c r="P163" s="187"/>
      <c r="Q163" s="195"/>
      <c r="R163" s="188">
        <v>86300</v>
      </c>
      <c r="S163" s="189"/>
      <c r="T163" s="190"/>
      <c r="U163" s="190"/>
    </row>
    <row r="164" spans="1:21" s="7" customFormat="1" ht="11.25">
      <c r="A164" s="8"/>
      <c r="B164" s="9"/>
      <c r="C164" s="10"/>
      <c r="D164" s="18" t="s">
        <v>13</v>
      </c>
      <c r="E164" s="19" t="e">
        <f>SUM(#REF!+E141+#REF!+E143+#REF!+E144+E149+E156+#REF!)</f>
        <v>#REF!</v>
      </c>
      <c r="F164" s="20" t="e">
        <f>SUM(#REF!+F141+#REF!+F143+#REF!+F144+F149+F156+#REF!)</f>
        <v>#REF!</v>
      </c>
      <c r="G164" s="58" t="e">
        <f>SUM(#REF!+G141+G143+#REF!+G144+G149+G156+#REF!)</f>
        <v>#REF!</v>
      </c>
      <c r="H164" s="62" t="e">
        <f>SUM(#REF!+H141+H143+#REF!+H144+H149++H151+H154+H156+#REF!+#REF!)</f>
        <v>#REF!</v>
      </c>
      <c r="I164" s="20" t="e">
        <f>SUM(#REF!+I141+I143+#REF!+I144+I149++I151+I154+I156+#REF!+#REF!)</f>
        <v>#REF!</v>
      </c>
      <c r="J164" s="63" t="e">
        <f>SUM(#REF!+J141+J143+#REF!+J144+J149++J151+J154+J156+#REF!+#REF!)</f>
        <v>#REF!</v>
      </c>
      <c r="K164" s="21">
        <f>SUM(K141+K143+K144+K149+K156+K145+K151+K154+K158+K159+K152+K153)</f>
        <v>1408000</v>
      </c>
      <c r="L164" s="25"/>
      <c r="M164" s="25">
        <f>SUM(M141+M143+M144+M149+M156+M145+M151+M154+M158+M159+M152+M153)</f>
        <v>1408000</v>
      </c>
      <c r="N164" s="25">
        <f>SUM(N141+N143+N144+N149+N156+N145+N151+N154+N158+N159+N152+N153)</f>
        <v>-200000</v>
      </c>
      <c r="O164" s="25"/>
      <c r="P164" s="133">
        <f>SUM(P141+P143+P144+P149+P156+P145+P151+P154+P158+P159+P152+P153)</f>
        <v>1208000</v>
      </c>
      <c r="Q164" s="163">
        <f>SUM(Q141+Q143+Q144+Q149+Q156+Q145+Q151+Q154+Q158+Q159+Q160+Q152+Q153)</f>
        <v>20000</v>
      </c>
      <c r="R164" s="163">
        <f>SUM(R143+R144+R149+R156+R145+R151+R154+R158+R159+R160+R152+R153+R138)</f>
        <v>201700</v>
      </c>
      <c r="S164" s="145">
        <f>SUM(S141+S143+S144+S149+S156+S145+S151+S154+S158+S159+S160+S152+S153)</f>
        <v>0</v>
      </c>
      <c r="T164" s="135">
        <f>SUM(T141+T143+T144+T149+T156+T145+T151+T154+T158+T159+T160+T152+T153)</f>
        <v>0</v>
      </c>
      <c r="U164" s="135">
        <f>SUM(U141+U143+U144+U149+U156+U145+U151+U154+U158+U159+U160+U152+U153)</f>
        <v>0</v>
      </c>
    </row>
    <row r="165" spans="1:21" s="7" customFormat="1" ht="11.25">
      <c r="A165" s="8"/>
      <c r="B165" s="9"/>
      <c r="C165" s="10"/>
      <c r="D165" s="18" t="s">
        <v>14</v>
      </c>
      <c r="E165" s="19" t="e">
        <f>SUM(E139+E140+#REF!+E146+E147+E148+#REF!+#REF!+E150+E157+E155+#REF!+#REF!+#REF!+#REF!+#REF!)</f>
        <v>#REF!</v>
      </c>
      <c r="F165" s="20" t="e">
        <f>SUM(F139+F140+#REF!+F146+F147+F148+#REF!+#REF!+F150+F157+F155+#REF!+#REF!+#REF!+#REF!+#REF!)</f>
        <v>#REF!</v>
      </c>
      <c r="G165" s="58" t="e">
        <f>SUM(G139+G140+G146+G147+G148+#REF!+G150+G157+G155+#REF!+#REF!)</f>
        <v>#REF!</v>
      </c>
      <c r="H165" s="62" t="e">
        <f>SUM(#REF!+H139+H140+H142+H146+H147+H148+#REF!+H150+H157+H155+#REF!+#REF!+#REF!+#REF!)</f>
        <v>#REF!</v>
      </c>
      <c r="I165" s="20" t="e">
        <f>SUM(#REF!+I139+I140+I142+I146+I147+I148+#REF!+I150+I157+I155+#REF!+#REF!++#REF!+#REF!++#REF!)</f>
        <v>#REF!</v>
      </c>
      <c r="J165" s="63" t="e">
        <f>SUM(#REF!+J139+J140+J142+J146+J147+J148+#REF!+J150+J157+J155++#REF!+#REF!+#REF!+#REF!+#REF!)</f>
        <v>#REF!</v>
      </c>
      <c r="K165" s="21">
        <f>SUM(K139+K140+K142+K146+K147+K148+K150+K157+K162+K155)</f>
        <v>1316400</v>
      </c>
      <c r="L165" s="25"/>
      <c r="M165" s="25">
        <f>SUM(M139+M140+M142+M146+M147+M148+M150+M157+M155+M162)</f>
        <v>1206400</v>
      </c>
      <c r="N165" s="25">
        <f>SUM(N139+N140+N142+N146+N147+N148+N150+N157+N155+N162)</f>
        <v>-200000</v>
      </c>
      <c r="O165" s="25"/>
      <c r="P165" s="133">
        <f>SUM(P139+P140+P142+P146+P147+P148+P150+P157+P162+P155)</f>
        <v>1006400</v>
      </c>
      <c r="Q165" s="163">
        <f>SUM(Q139+Q140+Q146+Q147+Q148+Q150+Q157++Q161+Q162+Q155)</f>
        <v>50000</v>
      </c>
      <c r="R165" s="163">
        <f>SUM(R139+R140+R141+R146+R147+R148+R150+R157++R161+R162+R163+R155)</f>
        <v>571400</v>
      </c>
      <c r="S165" s="145">
        <f>SUM(S139+S140+S142+S146+S147+S148+S150+S157++S161+S162+S155)</f>
        <v>110000</v>
      </c>
      <c r="T165" s="135">
        <f>SUM(T139+T140+T146+T147+T148+T150+T157++T161+T162+T155)</f>
        <v>0</v>
      </c>
      <c r="U165" s="135">
        <f>SUM(U139+U140+U146+U147+U148+U150+U157++U161+U162+U155)</f>
        <v>0</v>
      </c>
    </row>
    <row r="166" spans="1:21" s="7" customFormat="1" ht="11.25">
      <c r="A166" s="8"/>
      <c r="B166" s="9"/>
      <c r="C166" s="10"/>
      <c r="D166" s="18" t="s">
        <v>15</v>
      </c>
      <c r="E166" s="19" t="e">
        <f aca="true" t="shared" si="84" ref="E166:N166">E164-E165</f>
        <v>#REF!</v>
      </c>
      <c r="F166" s="20" t="e">
        <f>F164-F165</f>
        <v>#REF!</v>
      </c>
      <c r="G166" s="58" t="e">
        <f>G164-G165</f>
        <v>#REF!</v>
      </c>
      <c r="H166" s="62" t="e">
        <f t="shared" si="84"/>
        <v>#REF!</v>
      </c>
      <c r="I166" s="20" t="e">
        <f>I164-I165</f>
        <v>#REF!</v>
      </c>
      <c r="J166" s="63" t="e">
        <f>J164-J165</f>
        <v>#REF!</v>
      </c>
      <c r="K166" s="21">
        <f t="shared" si="84"/>
        <v>91600</v>
      </c>
      <c r="L166" s="25"/>
      <c r="M166" s="25">
        <f t="shared" si="84"/>
        <v>201600</v>
      </c>
      <c r="N166" s="25">
        <f t="shared" si="84"/>
        <v>0</v>
      </c>
      <c r="O166" s="25"/>
      <c r="P166" s="133">
        <f aca="true" t="shared" si="85" ref="P166:U166">P164-P165</f>
        <v>201600</v>
      </c>
      <c r="Q166" s="163">
        <f t="shared" si="85"/>
        <v>-30000</v>
      </c>
      <c r="R166" s="163">
        <f t="shared" si="85"/>
        <v>-369700</v>
      </c>
      <c r="S166" s="145">
        <f t="shared" si="85"/>
        <v>-110000</v>
      </c>
      <c r="T166" s="135">
        <f t="shared" si="85"/>
        <v>0</v>
      </c>
      <c r="U166" s="135">
        <f t="shared" si="85"/>
        <v>0</v>
      </c>
    </row>
    <row r="167" spans="1:21" s="7" customFormat="1" ht="12.75">
      <c r="A167" s="99" t="s">
        <v>171</v>
      </c>
      <c r="B167" s="9"/>
      <c r="C167" s="10"/>
      <c r="D167" s="15" t="s">
        <v>172</v>
      </c>
      <c r="E167" s="19"/>
      <c r="F167" s="20"/>
      <c r="G167" s="58"/>
      <c r="H167" s="62"/>
      <c r="I167" s="20"/>
      <c r="J167" s="63"/>
      <c r="K167" s="21"/>
      <c r="L167" s="25"/>
      <c r="M167" s="25"/>
      <c r="N167" s="118"/>
      <c r="O167" s="118"/>
      <c r="P167" s="133"/>
      <c r="Q167" s="163"/>
      <c r="R167" s="163"/>
      <c r="S167" s="145"/>
      <c r="T167" s="135"/>
      <c r="U167" s="135"/>
    </row>
    <row r="168" spans="1:21" s="191" customFormat="1" ht="11.25">
      <c r="A168" s="176"/>
      <c r="B168" s="177"/>
      <c r="C168" s="178"/>
      <c r="D168" s="179" t="s">
        <v>173</v>
      </c>
      <c r="E168" s="198"/>
      <c r="F168" s="199"/>
      <c r="G168" s="200"/>
      <c r="H168" s="201"/>
      <c r="I168" s="199"/>
      <c r="J168" s="202"/>
      <c r="K168" s="203"/>
      <c r="L168" s="204"/>
      <c r="M168" s="204"/>
      <c r="N168" s="194"/>
      <c r="O168" s="194"/>
      <c r="P168" s="219"/>
      <c r="Q168" s="253"/>
      <c r="R168" s="188">
        <v>57700</v>
      </c>
      <c r="S168" s="254">
        <v>97500</v>
      </c>
      <c r="T168" s="255"/>
      <c r="U168" s="255"/>
    </row>
    <row r="169" spans="1:21" s="7" customFormat="1" ht="11.25">
      <c r="A169" s="8"/>
      <c r="B169" s="9"/>
      <c r="C169" s="10"/>
      <c r="D169" s="18" t="s">
        <v>13</v>
      </c>
      <c r="E169" s="19"/>
      <c r="F169" s="20"/>
      <c r="G169" s="58"/>
      <c r="H169" s="62"/>
      <c r="I169" s="20"/>
      <c r="J169" s="63"/>
      <c r="K169" s="21"/>
      <c r="L169" s="25"/>
      <c r="M169" s="25"/>
      <c r="N169" s="118"/>
      <c r="O169" s="118"/>
      <c r="P169" s="133">
        <f aca="true" t="shared" si="86" ref="P169:U169">SUM(P167:P167)</f>
        <v>0</v>
      </c>
      <c r="Q169" s="163">
        <f t="shared" si="86"/>
        <v>0</v>
      </c>
      <c r="R169" s="163">
        <f t="shared" si="86"/>
        <v>0</v>
      </c>
      <c r="S169" s="145">
        <f t="shared" si="86"/>
        <v>0</v>
      </c>
      <c r="T169" s="135">
        <f t="shared" si="86"/>
        <v>0</v>
      </c>
      <c r="U169" s="135">
        <f t="shared" si="86"/>
        <v>0</v>
      </c>
    </row>
    <row r="170" spans="1:21" s="7" customFormat="1" ht="11.25">
      <c r="A170" s="8"/>
      <c r="B170" s="9"/>
      <c r="C170" s="10"/>
      <c r="D170" s="18" t="s">
        <v>14</v>
      </c>
      <c r="E170" s="19"/>
      <c r="F170" s="20"/>
      <c r="G170" s="58"/>
      <c r="H170" s="62"/>
      <c r="I170" s="20"/>
      <c r="J170" s="63"/>
      <c r="K170" s="21"/>
      <c r="L170" s="25"/>
      <c r="M170" s="25"/>
      <c r="N170" s="118"/>
      <c r="O170" s="118"/>
      <c r="P170" s="133">
        <f aca="true" t="shared" si="87" ref="P170:U170">SUM(P168)</f>
        <v>0</v>
      </c>
      <c r="Q170" s="163">
        <f t="shared" si="87"/>
        <v>0</v>
      </c>
      <c r="R170" s="145">
        <f t="shared" si="87"/>
        <v>57700</v>
      </c>
      <c r="S170" s="145">
        <f t="shared" si="87"/>
        <v>97500</v>
      </c>
      <c r="T170" s="135">
        <f t="shared" si="87"/>
        <v>0</v>
      </c>
      <c r="U170" s="135">
        <f t="shared" si="87"/>
        <v>0</v>
      </c>
    </row>
    <row r="171" spans="1:21" s="7" customFormat="1" ht="11.25">
      <c r="A171" s="8"/>
      <c r="B171" s="9"/>
      <c r="C171" s="10"/>
      <c r="D171" s="18" t="s">
        <v>15</v>
      </c>
      <c r="E171" s="19"/>
      <c r="F171" s="20"/>
      <c r="G171" s="58"/>
      <c r="H171" s="62"/>
      <c r="I171" s="20"/>
      <c r="J171" s="63"/>
      <c r="K171" s="21"/>
      <c r="L171" s="25"/>
      <c r="M171" s="25"/>
      <c r="N171" s="118"/>
      <c r="O171" s="118"/>
      <c r="P171" s="133">
        <f aca="true" t="shared" si="88" ref="P171:U171">P169-P170</f>
        <v>0</v>
      </c>
      <c r="Q171" s="163">
        <f t="shared" si="88"/>
        <v>0</v>
      </c>
      <c r="R171" s="163">
        <f t="shared" si="88"/>
        <v>-57700</v>
      </c>
      <c r="S171" s="145">
        <f t="shared" si="88"/>
        <v>-97500</v>
      </c>
      <c r="T171" s="135">
        <f t="shared" si="88"/>
        <v>0</v>
      </c>
      <c r="U171" s="135">
        <f t="shared" si="88"/>
        <v>0</v>
      </c>
    </row>
    <row r="172" spans="1:18" s="7" customFormat="1" ht="13.5" customHeight="1">
      <c r="A172" s="99" t="s">
        <v>95</v>
      </c>
      <c r="B172" s="9"/>
      <c r="C172" s="10"/>
      <c r="D172" s="15" t="s">
        <v>96</v>
      </c>
      <c r="E172" s="19"/>
      <c r="F172" s="20"/>
      <c r="G172" s="58"/>
      <c r="H172" s="62"/>
      <c r="I172" s="20"/>
      <c r="J172" s="63"/>
      <c r="K172" s="21"/>
      <c r="L172" s="25"/>
      <c r="M172" s="24"/>
      <c r="N172" s="118"/>
      <c r="O172" s="118"/>
      <c r="P172" s="134"/>
      <c r="Q172" s="173"/>
      <c r="R172" s="161"/>
    </row>
    <row r="173" spans="1:21" s="7" customFormat="1" ht="11.25">
      <c r="A173" s="8" t="s">
        <v>97</v>
      </c>
      <c r="B173" s="9">
        <v>2</v>
      </c>
      <c r="C173" s="10" t="s">
        <v>98</v>
      </c>
      <c r="D173" s="11" t="s">
        <v>99</v>
      </c>
      <c r="E173" s="12">
        <v>0</v>
      </c>
      <c r="F173" s="13"/>
      <c r="G173" s="59">
        <f>SUM(E173:F173)</f>
        <v>0</v>
      </c>
      <c r="H173" s="64">
        <v>0</v>
      </c>
      <c r="I173" s="13"/>
      <c r="J173" s="70">
        <f>SUM(H173:I173)</f>
        <v>0</v>
      </c>
      <c r="K173" s="26">
        <v>10000</v>
      </c>
      <c r="L173" s="113"/>
      <c r="M173" s="24">
        <f>K173</f>
        <v>10000</v>
      </c>
      <c r="N173" s="118">
        <v>-5000</v>
      </c>
      <c r="O173" s="118"/>
      <c r="P173" s="134">
        <f>M173+N173</f>
        <v>5000</v>
      </c>
      <c r="Q173" s="161"/>
      <c r="R173" s="161"/>
      <c r="S173" s="143"/>
      <c r="T173" s="131"/>
      <c r="U173" s="131"/>
    </row>
    <row r="174" spans="1:21" s="7" customFormat="1" ht="11.25">
      <c r="A174" s="8"/>
      <c r="B174" s="9"/>
      <c r="C174" s="10"/>
      <c r="D174" s="18" t="s">
        <v>13</v>
      </c>
      <c r="E174" s="19">
        <f aca="true" t="shared" si="89" ref="E174:U174">SUM(0)</f>
        <v>0</v>
      </c>
      <c r="F174" s="20">
        <f t="shared" si="89"/>
        <v>0</v>
      </c>
      <c r="G174" s="58">
        <f t="shared" si="89"/>
        <v>0</v>
      </c>
      <c r="H174" s="62">
        <f t="shared" si="89"/>
        <v>0</v>
      </c>
      <c r="I174" s="20">
        <f t="shared" si="89"/>
        <v>0</v>
      </c>
      <c r="J174" s="63">
        <f t="shared" si="89"/>
        <v>0</v>
      </c>
      <c r="K174" s="21">
        <f t="shared" si="89"/>
        <v>0</v>
      </c>
      <c r="L174" s="25"/>
      <c r="M174" s="25">
        <f t="shared" si="89"/>
        <v>0</v>
      </c>
      <c r="N174" s="25">
        <f t="shared" si="89"/>
        <v>0</v>
      </c>
      <c r="O174" s="25"/>
      <c r="P174" s="133">
        <f t="shared" si="89"/>
        <v>0</v>
      </c>
      <c r="Q174" s="163">
        <f t="shared" si="89"/>
        <v>0</v>
      </c>
      <c r="R174" s="163">
        <f t="shared" si="89"/>
        <v>0</v>
      </c>
      <c r="S174" s="145">
        <f t="shared" si="89"/>
        <v>0</v>
      </c>
      <c r="T174" s="135">
        <f t="shared" si="89"/>
        <v>0</v>
      </c>
      <c r="U174" s="135">
        <f t="shared" si="89"/>
        <v>0</v>
      </c>
    </row>
    <row r="175" spans="1:21" s="7" customFormat="1" ht="11.25">
      <c r="A175" s="8"/>
      <c r="B175" s="9"/>
      <c r="C175" s="10"/>
      <c r="D175" s="18" t="s">
        <v>14</v>
      </c>
      <c r="E175" s="19">
        <f aca="true" t="shared" si="90" ref="E175:N175">SUM(E173:E173)</f>
        <v>0</v>
      </c>
      <c r="F175" s="20">
        <f t="shared" si="90"/>
        <v>0</v>
      </c>
      <c r="G175" s="58">
        <f t="shared" si="90"/>
        <v>0</v>
      </c>
      <c r="H175" s="62">
        <f t="shared" si="90"/>
        <v>0</v>
      </c>
      <c r="I175" s="20">
        <f>SUM(I173:I173)</f>
        <v>0</v>
      </c>
      <c r="J175" s="63">
        <f>SUM(J173:J173)</f>
        <v>0</v>
      </c>
      <c r="K175" s="21">
        <f t="shared" si="90"/>
        <v>10000</v>
      </c>
      <c r="L175" s="25"/>
      <c r="M175" s="25">
        <f t="shared" si="90"/>
        <v>10000</v>
      </c>
      <c r="N175" s="25">
        <f t="shared" si="90"/>
        <v>-5000</v>
      </c>
      <c r="O175" s="25"/>
      <c r="P175" s="133">
        <f aca="true" t="shared" si="91" ref="P175:U175">SUM(P173:P173)</f>
        <v>5000</v>
      </c>
      <c r="Q175" s="163">
        <f t="shared" si="91"/>
        <v>0</v>
      </c>
      <c r="R175" s="163">
        <f t="shared" si="91"/>
        <v>0</v>
      </c>
      <c r="S175" s="145">
        <f t="shared" si="91"/>
        <v>0</v>
      </c>
      <c r="T175" s="135">
        <f t="shared" si="91"/>
        <v>0</v>
      </c>
      <c r="U175" s="135">
        <f t="shared" si="91"/>
        <v>0</v>
      </c>
    </row>
    <row r="176" spans="1:21" s="7" customFormat="1" ht="11.25">
      <c r="A176" s="8"/>
      <c r="B176" s="9"/>
      <c r="C176" s="10"/>
      <c r="D176" s="18" t="s">
        <v>15</v>
      </c>
      <c r="E176" s="19">
        <f aca="true" t="shared" si="92" ref="E176:N176">E174-E175</f>
        <v>0</v>
      </c>
      <c r="F176" s="20">
        <f>F174-F175</f>
        <v>0</v>
      </c>
      <c r="G176" s="58">
        <f>G174-G175</f>
        <v>0</v>
      </c>
      <c r="H176" s="62">
        <f t="shared" si="92"/>
        <v>0</v>
      </c>
      <c r="I176" s="20">
        <f>I174-I175</f>
        <v>0</v>
      </c>
      <c r="J176" s="63">
        <f>J174-J175</f>
        <v>0</v>
      </c>
      <c r="K176" s="21">
        <f t="shared" si="92"/>
        <v>-10000</v>
      </c>
      <c r="L176" s="25"/>
      <c r="M176" s="25">
        <f t="shared" si="92"/>
        <v>-10000</v>
      </c>
      <c r="N176" s="25">
        <f t="shared" si="92"/>
        <v>5000</v>
      </c>
      <c r="O176" s="25"/>
      <c r="P176" s="133">
        <f aca="true" t="shared" si="93" ref="P176:U176">P174-P175</f>
        <v>-5000</v>
      </c>
      <c r="Q176" s="163">
        <f t="shared" si="93"/>
        <v>0</v>
      </c>
      <c r="R176" s="163">
        <f t="shared" si="93"/>
        <v>0</v>
      </c>
      <c r="S176" s="145">
        <f t="shared" si="93"/>
        <v>0</v>
      </c>
      <c r="T176" s="135">
        <f t="shared" si="93"/>
        <v>0</v>
      </c>
      <c r="U176" s="135">
        <f t="shared" si="93"/>
        <v>0</v>
      </c>
    </row>
    <row r="177" spans="1:21" s="7" customFormat="1" ht="13.5" customHeight="1">
      <c r="A177" s="99" t="s">
        <v>100</v>
      </c>
      <c r="B177" s="9"/>
      <c r="C177" s="10"/>
      <c r="D177" s="15" t="s">
        <v>101</v>
      </c>
      <c r="E177" s="19"/>
      <c r="F177" s="20"/>
      <c r="G177" s="58"/>
      <c r="H177" s="62"/>
      <c r="I177" s="20"/>
      <c r="J177" s="63"/>
      <c r="K177" s="21"/>
      <c r="L177" s="25"/>
      <c r="M177" s="24"/>
      <c r="N177" s="118"/>
      <c r="O177" s="118"/>
      <c r="P177" s="133"/>
      <c r="Q177" s="161"/>
      <c r="R177" s="161"/>
      <c r="S177" s="143"/>
      <c r="T177" s="131"/>
      <c r="U177" s="131"/>
    </row>
    <row r="178" spans="1:21" s="7" customFormat="1" ht="11.25">
      <c r="A178" s="8" t="s">
        <v>102</v>
      </c>
      <c r="B178" s="9"/>
      <c r="C178" s="10" t="s">
        <v>62</v>
      </c>
      <c r="D178" s="11" t="s">
        <v>63</v>
      </c>
      <c r="E178" s="16">
        <v>20000</v>
      </c>
      <c r="F178" s="17">
        <v>32700</v>
      </c>
      <c r="G178" s="59">
        <f>SUM(E178:F178)</f>
        <v>52700</v>
      </c>
      <c r="H178" s="65">
        <v>445800</v>
      </c>
      <c r="I178" s="28">
        <v>0</v>
      </c>
      <c r="J178" s="70">
        <f>SUM(H178:I178)</f>
        <v>445800</v>
      </c>
      <c r="K178" s="55">
        <v>80000</v>
      </c>
      <c r="L178" s="114"/>
      <c r="M178" s="24">
        <f>K178</f>
        <v>80000</v>
      </c>
      <c r="N178" s="118"/>
      <c r="O178" s="118"/>
      <c r="P178" s="134">
        <f>M178+N178</f>
        <v>80000</v>
      </c>
      <c r="Q178" s="162">
        <v>80000</v>
      </c>
      <c r="R178" s="162">
        <v>80000</v>
      </c>
      <c r="S178" s="144">
        <v>80000</v>
      </c>
      <c r="T178" s="132">
        <v>80000</v>
      </c>
      <c r="U178" s="132">
        <v>0</v>
      </c>
    </row>
    <row r="179" spans="1:21" s="7" customFormat="1" ht="11.25">
      <c r="A179" s="8">
        <v>880</v>
      </c>
      <c r="B179" s="9"/>
      <c r="C179" s="10">
        <v>9320</v>
      </c>
      <c r="D179" s="11" t="s">
        <v>164</v>
      </c>
      <c r="E179" s="16"/>
      <c r="F179" s="17"/>
      <c r="G179" s="59"/>
      <c r="H179" s="65"/>
      <c r="I179" s="28"/>
      <c r="J179" s="70"/>
      <c r="K179" s="55"/>
      <c r="L179" s="114"/>
      <c r="M179" s="24"/>
      <c r="N179" s="24">
        <v>12600</v>
      </c>
      <c r="O179" s="24"/>
      <c r="P179" s="134">
        <f>M179+N179</f>
        <v>12600</v>
      </c>
      <c r="Q179" s="161"/>
      <c r="R179" s="161"/>
      <c r="S179" s="143"/>
      <c r="T179" s="131"/>
      <c r="U179" s="131"/>
    </row>
    <row r="180" spans="1:21" s="7" customFormat="1" ht="11.25">
      <c r="A180" s="30"/>
      <c r="B180" s="9"/>
      <c r="C180" s="10"/>
      <c r="D180" s="18" t="s">
        <v>13</v>
      </c>
      <c r="E180" s="19">
        <f aca="true" t="shared" si="94" ref="E180:N180">SUM(E178)</f>
        <v>20000</v>
      </c>
      <c r="F180" s="20">
        <f t="shared" si="94"/>
        <v>32700</v>
      </c>
      <c r="G180" s="58">
        <f t="shared" si="94"/>
        <v>52700</v>
      </c>
      <c r="H180" s="62">
        <f t="shared" si="94"/>
        <v>445800</v>
      </c>
      <c r="I180" s="20">
        <f>SUM(I178)</f>
        <v>0</v>
      </c>
      <c r="J180" s="63">
        <f>SUM(J178)</f>
        <v>445800</v>
      </c>
      <c r="K180" s="21">
        <f t="shared" si="94"/>
        <v>80000</v>
      </c>
      <c r="L180" s="25"/>
      <c r="M180" s="25">
        <f t="shared" si="94"/>
        <v>80000</v>
      </c>
      <c r="N180" s="25">
        <f t="shared" si="94"/>
        <v>0</v>
      </c>
      <c r="O180" s="25"/>
      <c r="P180" s="133">
        <f aca="true" t="shared" si="95" ref="P180:T181">SUM(P178)</f>
        <v>80000</v>
      </c>
      <c r="Q180" s="163">
        <f t="shared" si="95"/>
        <v>80000</v>
      </c>
      <c r="R180" s="163">
        <f>SUM(R178)</f>
        <v>80000</v>
      </c>
      <c r="S180" s="145">
        <f t="shared" si="95"/>
        <v>80000</v>
      </c>
      <c r="T180" s="135">
        <f t="shared" si="95"/>
        <v>80000</v>
      </c>
      <c r="U180" s="135">
        <f>SUM(U178)</f>
        <v>0</v>
      </c>
    </row>
    <row r="181" spans="1:21" s="7" customFormat="1" ht="11.25">
      <c r="A181" s="30"/>
      <c r="B181" s="9"/>
      <c r="C181" s="10"/>
      <c r="D181" s="18" t="s">
        <v>14</v>
      </c>
      <c r="E181" s="19">
        <f aca="true" t="shared" si="96" ref="E181:M181">SUM(0)</f>
        <v>0</v>
      </c>
      <c r="F181" s="20">
        <f t="shared" si="96"/>
        <v>0</v>
      </c>
      <c r="G181" s="58">
        <f t="shared" si="96"/>
        <v>0</v>
      </c>
      <c r="H181" s="62">
        <f t="shared" si="96"/>
        <v>0</v>
      </c>
      <c r="I181" s="20">
        <f t="shared" si="96"/>
        <v>0</v>
      </c>
      <c r="J181" s="63">
        <f t="shared" si="96"/>
        <v>0</v>
      </c>
      <c r="K181" s="21">
        <f t="shared" si="96"/>
        <v>0</v>
      </c>
      <c r="L181" s="25"/>
      <c r="M181" s="25">
        <f t="shared" si="96"/>
        <v>0</v>
      </c>
      <c r="N181" s="25">
        <f>N179</f>
        <v>12600</v>
      </c>
      <c r="O181" s="25"/>
      <c r="P181" s="133">
        <f t="shared" si="95"/>
        <v>12600</v>
      </c>
      <c r="Q181" s="163">
        <f t="shared" si="95"/>
        <v>0</v>
      </c>
      <c r="R181" s="163">
        <f>SUM(R179)</f>
        <v>0</v>
      </c>
      <c r="S181" s="145">
        <f t="shared" si="95"/>
        <v>0</v>
      </c>
      <c r="T181" s="135">
        <f t="shared" si="95"/>
        <v>0</v>
      </c>
      <c r="U181" s="135">
        <f>SUM(U179)</f>
        <v>0</v>
      </c>
    </row>
    <row r="182" spans="1:21" s="7" customFormat="1" ht="11.25">
      <c r="A182" s="30"/>
      <c r="B182" s="9"/>
      <c r="C182" s="10"/>
      <c r="D182" s="18" t="s">
        <v>15</v>
      </c>
      <c r="E182" s="19">
        <f aca="true" t="shared" si="97" ref="E182:N182">E180-E181</f>
        <v>20000</v>
      </c>
      <c r="F182" s="20">
        <f>F180-F181</f>
        <v>32700</v>
      </c>
      <c r="G182" s="58">
        <f>G180-G181</f>
        <v>52700</v>
      </c>
      <c r="H182" s="62">
        <f t="shared" si="97"/>
        <v>445800</v>
      </c>
      <c r="I182" s="20">
        <f>I180-I181</f>
        <v>0</v>
      </c>
      <c r="J182" s="63">
        <f>J180-J181</f>
        <v>445800</v>
      </c>
      <c r="K182" s="21">
        <f t="shared" si="97"/>
        <v>80000</v>
      </c>
      <c r="L182" s="25"/>
      <c r="M182" s="25">
        <f t="shared" si="97"/>
        <v>80000</v>
      </c>
      <c r="N182" s="25">
        <f t="shared" si="97"/>
        <v>-12600</v>
      </c>
      <c r="O182" s="25"/>
      <c r="P182" s="133">
        <f aca="true" t="shared" si="98" ref="P182:U182">P180-P181</f>
        <v>67400</v>
      </c>
      <c r="Q182" s="163">
        <f t="shared" si="98"/>
        <v>80000</v>
      </c>
      <c r="R182" s="163">
        <f t="shared" si="98"/>
        <v>80000</v>
      </c>
      <c r="S182" s="145">
        <f t="shared" si="98"/>
        <v>80000</v>
      </c>
      <c r="T182" s="135">
        <f t="shared" si="98"/>
        <v>80000</v>
      </c>
      <c r="U182" s="135">
        <f t="shared" si="98"/>
        <v>0</v>
      </c>
    </row>
    <row r="183" spans="1:21" s="7" customFormat="1" ht="12.75">
      <c r="A183" s="99" t="s">
        <v>208</v>
      </c>
      <c r="B183" s="9"/>
      <c r="C183" s="10"/>
      <c r="D183" s="15" t="s">
        <v>209</v>
      </c>
      <c r="E183" s="19"/>
      <c r="F183" s="20"/>
      <c r="G183" s="58"/>
      <c r="H183" s="62"/>
      <c r="I183" s="20"/>
      <c r="J183" s="63"/>
      <c r="K183" s="21"/>
      <c r="L183" s="25"/>
      <c r="M183" s="25"/>
      <c r="N183" s="25"/>
      <c r="O183" s="25"/>
      <c r="P183" s="133"/>
      <c r="Q183" s="163"/>
      <c r="R183" s="163"/>
      <c r="S183" s="145"/>
      <c r="T183" s="135"/>
      <c r="U183" s="135"/>
    </row>
    <row r="184" spans="1:21" s="191" customFormat="1" ht="11.25">
      <c r="A184" s="256"/>
      <c r="B184" s="177"/>
      <c r="C184" s="178"/>
      <c r="D184" s="179" t="s">
        <v>210</v>
      </c>
      <c r="E184" s="198"/>
      <c r="F184" s="199"/>
      <c r="G184" s="200"/>
      <c r="H184" s="201"/>
      <c r="I184" s="199"/>
      <c r="J184" s="202"/>
      <c r="K184" s="203"/>
      <c r="L184" s="204"/>
      <c r="M184" s="204"/>
      <c r="N184" s="204"/>
      <c r="O184" s="204"/>
      <c r="P184" s="219"/>
      <c r="Q184" s="253"/>
      <c r="R184" s="257">
        <v>10000</v>
      </c>
      <c r="S184" s="254">
        <v>50000</v>
      </c>
      <c r="T184" s="255"/>
      <c r="U184" s="255"/>
    </row>
    <row r="185" spans="1:21" s="7" customFormat="1" ht="11.25">
      <c r="A185" s="30"/>
      <c r="B185" s="9"/>
      <c r="C185" s="10"/>
      <c r="D185" s="18" t="s">
        <v>13</v>
      </c>
      <c r="E185" s="19">
        <f aca="true" t="shared" si="99" ref="E185:K185">SUM(E183)</f>
        <v>0</v>
      </c>
      <c r="F185" s="20">
        <f t="shared" si="99"/>
        <v>0</v>
      </c>
      <c r="G185" s="58">
        <f t="shared" si="99"/>
        <v>0</v>
      </c>
      <c r="H185" s="62">
        <f t="shared" si="99"/>
        <v>0</v>
      </c>
      <c r="I185" s="20">
        <f t="shared" si="99"/>
        <v>0</v>
      </c>
      <c r="J185" s="63">
        <f t="shared" si="99"/>
        <v>0</v>
      </c>
      <c r="K185" s="21">
        <f t="shared" si="99"/>
        <v>0</v>
      </c>
      <c r="L185" s="25"/>
      <c r="M185" s="25">
        <f aca="true" t="shared" si="100" ref="M185:T186">SUM(M183)</f>
        <v>0</v>
      </c>
      <c r="N185" s="25">
        <f t="shared" si="100"/>
        <v>0</v>
      </c>
      <c r="O185" s="25"/>
      <c r="P185" s="133">
        <f t="shared" si="100"/>
        <v>0</v>
      </c>
      <c r="Q185" s="163">
        <f t="shared" si="100"/>
        <v>0</v>
      </c>
      <c r="R185" s="163">
        <f t="shared" si="100"/>
        <v>0</v>
      </c>
      <c r="S185" s="145">
        <f t="shared" si="100"/>
        <v>0</v>
      </c>
      <c r="T185" s="135">
        <f t="shared" si="100"/>
        <v>0</v>
      </c>
      <c r="U185" s="135">
        <f>SUM(U183)</f>
        <v>0</v>
      </c>
    </row>
    <row r="186" spans="1:21" s="7" customFormat="1" ht="11.25">
      <c r="A186" s="30"/>
      <c r="B186" s="9"/>
      <c r="C186" s="10"/>
      <c r="D186" s="18" t="s">
        <v>14</v>
      </c>
      <c r="E186" s="19">
        <f aca="true" t="shared" si="101" ref="E186:M186">SUM(0)</f>
        <v>0</v>
      </c>
      <c r="F186" s="20">
        <f t="shared" si="101"/>
        <v>0</v>
      </c>
      <c r="G186" s="58">
        <f t="shared" si="101"/>
        <v>0</v>
      </c>
      <c r="H186" s="62">
        <f t="shared" si="101"/>
        <v>0</v>
      </c>
      <c r="I186" s="20">
        <f t="shared" si="101"/>
        <v>0</v>
      </c>
      <c r="J186" s="63">
        <f t="shared" si="101"/>
        <v>0</v>
      </c>
      <c r="K186" s="21">
        <f t="shared" si="101"/>
        <v>0</v>
      </c>
      <c r="L186" s="25"/>
      <c r="M186" s="25">
        <f t="shared" si="101"/>
        <v>0</v>
      </c>
      <c r="N186" s="25">
        <f>N184</f>
        <v>0</v>
      </c>
      <c r="O186" s="25"/>
      <c r="P186" s="133">
        <f>SUM(P184)</f>
        <v>0</v>
      </c>
      <c r="Q186" s="163">
        <f>SUM(Q184)</f>
        <v>0</v>
      </c>
      <c r="R186" s="163">
        <f t="shared" si="100"/>
        <v>10000</v>
      </c>
      <c r="S186" s="145">
        <f t="shared" si="100"/>
        <v>50000</v>
      </c>
      <c r="T186" s="135">
        <f t="shared" si="100"/>
        <v>0</v>
      </c>
      <c r="U186" s="135">
        <f>SUM(U184)</f>
        <v>0</v>
      </c>
    </row>
    <row r="187" spans="1:21" s="7" customFormat="1" ht="11.25">
      <c r="A187" s="30"/>
      <c r="B187" s="9"/>
      <c r="C187" s="10"/>
      <c r="D187" s="18" t="s">
        <v>15</v>
      </c>
      <c r="E187" s="19">
        <f aca="true" t="shared" si="102" ref="E187:K187">E185-E186</f>
        <v>0</v>
      </c>
      <c r="F187" s="20">
        <f t="shared" si="102"/>
        <v>0</v>
      </c>
      <c r="G187" s="58">
        <f t="shared" si="102"/>
        <v>0</v>
      </c>
      <c r="H187" s="62">
        <f t="shared" si="102"/>
        <v>0</v>
      </c>
      <c r="I187" s="20">
        <f t="shared" si="102"/>
        <v>0</v>
      </c>
      <c r="J187" s="63">
        <f t="shared" si="102"/>
        <v>0</v>
      </c>
      <c r="K187" s="21">
        <f t="shared" si="102"/>
        <v>0</v>
      </c>
      <c r="L187" s="25"/>
      <c r="M187" s="25">
        <f aca="true" t="shared" si="103" ref="M187:U187">M185-M186</f>
        <v>0</v>
      </c>
      <c r="N187" s="25">
        <f t="shared" si="103"/>
        <v>0</v>
      </c>
      <c r="O187" s="25"/>
      <c r="P187" s="133">
        <f t="shared" si="103"/>
        <v>0</v>
      </c>
      <c r="Q187" s="163">
        <f t="shared" si="103"/>
        <v>0</v>
      </c>
      <c r="R187" s="163">
        <f t="shared" si="103"/>
        <v>-10000</v>
      </c>
      <c r="S187" s="145">
        <f t="shared" si="103"/>
        <v>-50000</v>
      </c>
      <c r="T187" s="135">
        <f t="shared" si="103"/>
        <v>0</v>
      </c>
      <c r="U187" s="135">
        <f t="shared" si="103"/>
        <v>0</v>
      </c>
    </row>
    <row r="188" spans="1:21" s="7" customFormat="1" ht="13.5" customHeight="1">
      <c r="A188" s="99" t="s">
        <v>103</v>
      </c>
      <c r="B188" s="9"/>
      <c r="C188" s="10"/>
      <c r="D188" s="15" t="s">
        <v>104</v>
      </c>
      <c r="E188" s="19"/>
      <c r="F188" s="20"/>
      <c r="G188" s="58"/>
      <c r="H188" s="62"/>
      <c r="I188" s="20"/>
      <c r="J188" s="63"/>
      <c r="K188" s="21"/>
      <c r="L188" s="25"/>
      <c r="M188" s="24"/>
      <c r="N188" s="118"/>
      <c r="O188" s="118"/>
      <c r="P188" s="133"/>
      <c r="Q188" s="161"/>
      <c r="R188" s="161"/>
      <c r="S188" s="143"/>
      <c r="T188" s="131"/>
      <c r="U188" s="131"/>
    </row>
    <row r="189" spans="1:21" s="7" customFormat="1" ht="11.25">
      <c r="A189" s="8" t="s">
        <v>105</v>
      </c>
      <c r="B189" s="9"/>
      <c r="C189" s="10" t="s">
        <v>106</v>
      </c>
      <c r="D189" s="11" t="s">
        <v>107</v>
      </c>
      <c r="E189" s="27">
        <v>1000600</v>
      </c>
      <c r="F189" s="28">
        <v>-23300</v>
      </c>
      <c r="G189" s="59">
        <f aca="true" t="shared" si="104" ref="G189:G200">SUM(E189:F189)</f>
        <v>977300</v>
      </c>
      <c r="H189" s="65">
        <v>960800</v>
      </c>
      <c r="I189" s="28"/>
      <c r="J189" s="70">
        <f aca="true" t="shared" si="105" ref="J189:J200">SUM(H189:I189)</f>
        <v>960800</v>
      </c>
      <c r="K189" s="55">
        <v>965400</v>
      </c>
      <c r="L189" s="114"/>
      <c r="M189" s="24">
        <f>K189</f>
        <v>965400</v>
      </c>
      <c r="N189" s="118"/>
      <c r="O189" s="118"/>
      <c r="P189" s="134">
        <f aca="true" t="shared" si="106" ref="P189:P200">M189+N189</f>
        <v>965400</v>
      </c>
      <c r="Q189" s="162">
        <v>1022500</v>
      </c>
      <c r="R189" s="162">
        <v>1013900</v>
      </c>
      <c r="S189" s="144">
        <v>1051300</v>
      </c>
      <c r="T189" s="132">
        <v>1076600</v>
      </c>
      <c r="U189" s="132">
        <v>1023300</v>
      </c>
    </row>
    <row r="190" spans="1:21" s="7" customFormat="1" ht="11.25">
      <c r="A190" s="8" t="s">
        <v>105</v>
      </c>
      <c r="B190" s="9"/>
      <c r="C190" s="10" t="s">
        <v>108</v>
      </c>
      <c r="D190" s="11" t="s">
        <v>109</v>
      </c>
      <c r="E190" s="16">
        <v>10000</v>
      </c>
      <c r="F190" s="17"/>
      <c r="G190" s="59">
        <f t="shared" si="104"/>
        <v>10000</v>
      </c>
      <c r="H190" s="65">
        <v>10000</v>
      </c>
      <c r="I190" s="28"/>
      <c r="J190" s="70">
        <f t="shared" si="105"/>
        <v>10000</v>
      </c>
      <c r="K190" s="55">
        <v>11000</v>
      </c>
      <c r="L190" s="114"/>
      <c r="M190" s="24">
        <f>K190</f>
        <v>11000</v>
      </c>
      <c r="N190" s="118"/>
      <c r="O190" s="118"/>
      <c r="P190" s="134">
        <f t="shared" si="106"/>
        <v>11000</v>
      </c>
      <c r="Q190" s="162">
        <v>11000</v>
      </c>
      <c r="R190" s="162">
        <v>11000</v>
      </c>
      <c r="S190" s="144">
        <v>11000</v>
      </c>
      <c r="T190" s="132">
        <v>11000</v>
      </c>
      <c r="U190" s="132">
        <v>0</v>
      </c>
    </row>
    <row r="191" spans="1:21" s="7" customFormat="1" ht="11.25">
      <c r="A191" s="8" t="s">
        <v>105</v>
      </c>
      <c r="B191" s="9"/>
      <c r="C191" s="10" t="s">
        <v>110</v>
      </c>
      <c r="D191" s="11" t="s">
        <v>111</v>
      </c>
      <c r="E191" s="12">
        <v>100</v>
      </c>
      <c r="F191" s="13">
        <v>100</v>
      </c>
      <c r="G191" s="59">
        <f t="shared" si="104"/>
        <v>200</v>
      </c>
      <c r="H191" s="64">
        <v>100</v>
      </c>
      <c r="I191" s="13"/>
      <c r="J191" s="70">
        <f t="shared" si="105"/>
        <v>100</v>
      </c>
      <c r="K191" s="26">
        <v>100</v>
      </c>
      <c r="L191" s="113"/>
      <c r="M191" s="24">
        <f>K191</f>
        <v>100</v>
      </c>
      <c r="N191" s="118"/>
      <c r="O191" s="118"/>
      <c r="P191" s="134">
        <f t="shared" si="106"/>
        <v>100</v>
      </c>
      <c r="Q191" s="162">
        <v>100</v>
      </c>
      <c r="R191" s="162">
        <v>100</v>
      </c>
      <c r="S191" s="144">
        <v>100</v>
      </c>
      <c r="T191" s="132">
        <v>100</v>
      </c>
      <c r="U191" s="132">
        <v>0</v>
      </c>
    </row>
    <row r="192" spans="1:21" s="7" customFormat="1" ht="11.25">
      <c r="A192" s="8" t="s">
        <v>105</v>
      </c>
      <c r="B192" s="9"/>
      <c r="C192" s="10" t="s">
        <v>112</v>
      </c>
      <c r="D192" s="11" t="s">
        <v>113</v>
      </c>
      <c r="E192" s="12">
        <v>200</v>
      </c>
      <c r="F192" s="13">
        <v>100</v>
      </c>
      <c r="G192" s="59">
        <f t="shared" si="104"/>
        <v>300</v>
      </c>
      <c r="H192" s="64">
        <v>0</v>
      </c>
      <c r="I192" s="13"/>
      <c r="J192" s="70">
        <f>SUM(H192:I192)</f>
        <v>0</v>
      </c>
      <c r="K192" s="26">
        <v>100</v>
      </c>
      <c r="L192" s="113"/>
      <c r="M192" s="24">
        <f>K192</f>
        <v>100</v>
      </c>
      <c r="N192" s="118"/>
      <c r="O192" s="118"/>
      <c r="P192" s="134">
        <f t="shared" si="106"/>
        <v>100</v>
      </c>
      <c r="Q192" s="162">
        <v>0</v>
      </c>
      <c r="R192" s="162">
        <v>0</v>
      </c>
      <c r="S192" s="144">
        <v>100</v>
      </c>
      <c r="T192" s="132">
        <v>0</v>
      </c>
      <c r="U192" s="132">
        <v>0</v>
      </c>
    </row>
    <row r="193" spans="1:21" s="7" customFormat="1" ht="11.25" customHeight="1">
      <c r="A193" s="8" t="s">
        <v>105</v>
      </c>
      <c r="B193" s="9"/>
      <c r="C193" s="10" t="s">
        <v>114</v>
      </c>
      <c r="D193" s="11" t="s">
        <v>115</v>
      </c>
      <c r="E193" s="12">
        <v>0</v>
      </c>
      <c r="F193" s="13"/>
      <c r="G193" s="59">
        <f t="shared" si="104"/>
        <v>0</v>
      </c>
      <c r="H193" s="64">
        <v>0</v>
      </c>
      <c r="I193" s="13"/>
      <c r="J193" s="70">
        <f>SUM(H193:I193)</f>
        <v>0</v>
      </c>
      <c r="K193" s="26">
        <v>0</v>
      </c>
      <c r="L193" s="113"/>
      <c r="M193" s="24">
        <f>K193</f>
        <v>0</v>
      </c>
      <c r="N193" s="130"/>
      <c r="O193" s="118"/>
      <c r="P193" s="134">
        <f t="shared" si="106"/>
        <v>0</v>
      </c>
      <c r="Q193" s="162">
        <v>0</v>
      </c>
      <c r="R193" s="162">
        <v>10000</v>
      </c>
      <c r="S193" s="144">
        <v>50000</v>
      </c>
      <c r="T193" s="132">
        <v>0</v>
      </c>
      <c r="U193" s="132">
        <v>0</v>
      </c>
    </row>
    <row r="194" spans="1:21" s="7" customFormat="1" ht="11.25">
      <c r="A194" s="100" t="s">
        <v>105</v>
      </c>
      <c r="B194" s="101"/>
      <c r="C194" s="102" t="s">
        <v>116</v>
      </c>
      <c r="D194" s="103" t="s">
        <v>117</v>
      </c>
      <c r="E194" s="104">
        <v>169400</v>
      </c>
      <c r="F194" s="105">
        <v>164400</v>
      </c>
      <c r="G194" s="106">
        <f t="shared" si="104"/>
        <v>333800</v>
      </c>
      <c r="H194" s="107">
        <v>862500</v>
      </c>
      <c r="I194" s="105">
        <v>78000</v>
      </c>
      <c r="J194" s="108">
        <f>SUM(H194:I194)</f>
        <v>940500</v>
      </c>
      <c r="K194" s="109">
        <v>0</v>
      </c>
      <c r="L194" s="120"/>
      <c r="M194" s="123">
        <v>0</v>
      </c>
      <c r="N194" s="125"/>
      <c r="O194" s="125"/>
      <c r="P194" s="136">
        <f t="shared" si="106"/>
        <v>0</v>
      </c>
      <c r="Q194" s="165">
        <v>0</v>
      </c>
      <c r="R194" s="165">
        <v>0</v>
      </c>
      <c r="S194" s="129">
        <v>0</v>
      </c>
      <c r="T194" s="140">
        <v>0</v>
      </c>
      <c r="U194" s="140">
        <v>0</v>
      </c>
    </row>
    <row r="195" spans="1:21" s="7" customFormat="1" ht="11.25">
      <c r="A195" s="8" t="s">
        <v>105</v>
      </c>
      <c r="B195" s="9"/>
      <c r="C195" s="10" t="s">
        <v>118</v>
      </c>
      <c r="D195" s="11" t="s">
        <v>119</v>
      </c>
      <c r="E195" s="12">
        <v>300</v>
      </c>
      <c r="F195" s="13"/>
      <c r="G195" s="59">
        <f t="shared" si="104"/>
        <v>300</v>
      </c>
      <c r="H195" s="64">
        <v>0</v>
      </c>
      <c r="I195" s="13"/>
      <c r="J195" s="70">
        <f t="shared" si="105"/>
        <v>0</v>
      </c>
      <c r="K195" s="26">
        <v>100</v>
      </c>
      <c r="L195" s="113"/>
      <c r="M195" s="24">
        <f aca="true" t="shared" si="107" ref="M195:M200">K195</f>
        <v>100</v>
      </c>
      <c r="N195" s="118"/>
      <c r="O195" s="118"/>
      <c r="P195" s="134">
        <f t="shared" si="106"/>
        <v>100</v>
      </c>
      <c r="Q195" s="162">
        <v>0</v>
      </c>
      <c r="R195" s="162">
        <v>0</v>
      </c>
      <c r="S195" s="144">
        <v>100</v>
      </c>
      <c r="T195" s="132">
        <v>0</v>
      </c>
      <c r="U195" s="132">
        <v>100</v>
      </c>
    </row>
    <row r="196" spans="1:21" s="7" customFormat="1" ht="11.25" customHeight="1">
      <c r="A196" s="8" t="s">
        <v>105</v>
      </c>
      <c r="B196" s="9"/>
      <c r="C196" s="10" t="s">
        <v>120</v>
      </c>
      <c r="D196" s="11" t="s">
        <v>121</v>
      </c>
      <c r="E196" s="12">
        <v>0</v>
      </c>
      <c r="F196" s="13"/>
      <c r="G196" s="59">
        <f t="shared" si="104"/>
        <v>0</v>
      </c>
      <c r="H196" s="64">
        <v>0</v>
      </c>
      <c r="I196" s="13"/>
      <c r="J196" s="70">
        <f t="shared" si="105"/>
        <v>0</v>
      </c>
      <c r="K196" s="26">
        <v>0</v>
      </c>
      <c r="L196" s="113"/>
      <c r="M196" s="24">
        <f t="shared" si="107"/>
        <v>0</v>
      </c>
      <c r="N196" s="118"/>
      <c r="O196" s="118"/>
      <c r="P196" s="134">
        <f t="shared" si="106"/>
        <v>0</v>
      </c>
      <c r="Q196" s="162">
        <v>0</v>
      </c>
      <c r="R196" s="162">
        <v>0</v>
      </c>
      <c r="S196" s="144">
        <v>0</v>
      </c>
      <c r="T196" s="132">
        <v>0</v>
      </c>
      <c r="U196" s="132">
        <v>0</v>
      </c>
    </row>
    <row r="197" spans="1:21" s="7" customFormat="1" ht="11.25">
      <c r="A197" s="8" t="s">
        <v>105</v>
      </c>
      <c r="B197" s="9"/>
      <c r="C197" s="10" t="s">
        <v>122</v>
      </c>
      <c r="D197" s="11" t="s">
        <v>123</v>
      </c>
      <c r="E197" s="12">
        <v>10000</v>
      </c>
      <c r="F197" s="13"/>
      <c r="G197" s="59">
        <f t="shared" si="104"/>
        <v>10000</v>
      </c>
      <c r="H197" s="64">
        <v>10000</v>
      </c>
      <c r="I197" s="13"/>
      <c r="J197" s="70">
        <f>SUM(H197:I197)</f>
        <v>10000</v>
      </c>
      <c r="K197" s="26">
        <v>11000</v>
      </c>
      <c r="L197" s="113"/>
      <c r="M197" s="24">
        <f t="shared" si="107"/>
        <v>11000</v>
      </c>
      <c r="N197" s="118"/>
      <c r="O197" s="118"/>
      <c r="P197" s="134">
        <f t="shared" si="106"/>
        <v>11000</v>
      </c>
      <c r="Q197" s="162">
        <v>11000</v>
      </c>
      <c r="R197" s="162">
        <v>11000</v>
      </c>
      <c r="S197" s="144">
        <v>11000</v>
      </c>
      <c r="T197" s="132">
        <v>11000</v>
      </c>
      <c r="U197" s="132">
        <v>11000</v>
      </c>
    </row>
    <row r="198" spans="1:21" s="7" customFormat="1" ht="11.25">
      <c r="A198" s="8">
        <v>910</v>
      </c>
      <c r="B198" s="9"/>
      <c r="C198" s="10">
        <v>9191</v>
      </c>
      <c r="D198" s="11" t="s">
        <v>124</v>
      </c>
      <c r="E198" s="12">
        <v>200</v>
      </c>
      <c r="F198" s="13"/>
      <c r="G198" s="59">
        <f t="shared" si="104"/>
        <v>200</v>
      </c>
      <c r="H198" s="64">
        <v>100</v>
      </c>
      <c r="I198" s="13"/>
      <c r="J198" s="70">
        <f t="shared" si="105"/>
        <v>100</v>
      </c>
      <c r="K198" s="26">
        <v>100</v>
      </c>
      <c r="L198" s="113"/>
      <c r="M198" s="24">
        <f t="shared" si="107"/>
        <v>100</v>
      </c>
      <c r="N198" s="118"/>
      <c r="O198" s="118"/>
      <c r="P198" s="134">
        <f t="shared" si="106"/>
        <v>100</v>
      </c>
      <c r="Q198" s="162">
        <v>100</v>
      </c>
      <c r="R198" s="162">
        <v>100</v>
      </c>
      <c r="S198" s="144">
        <v>100</v>
      </c>
      <c r="T198" s="132">
        <v>100</v>
      </c>
      <c r="U198" s="132">
        <v>100</v>
      </c>
    </row>
    <row r="199" spans="1:21" s="7" customFormat="1" ht="11.25" customHeight="1">
      <c r="A199" s="8" t="s">
        <v>105</v>
      </c>
      <c r="B199" s="9"/>
      <c r="C199" s="10" t="s">
        <v>125</v>
      </c>
      <c r="D199" s="11" t="s">
        <v>126</v>
      </c>
      <c r="E199" s="12">
        <v>5300</v>
      </c>
      <c r="F199" s="13"/>
      <c r="G199" s="59">
        <f t="shared" si="104"/>
        <v>5300</v>
      </c>
      <c r="H199" s="64">
        <v>5300</v>
      </c>
      <c r="I199" s="13"/>
      <c r="J199" s="70">
        <f>SUM(H199:I199)</f>
        <v>5300</v>
      </c>
      <c r="K199" s="26">
        <v>5300</v>
      </c>
      <c r="L199" s="113"/>
      <c r="M199" s="24">
        <f t="shared" si="107"/>
        <v>5300</v>
      </c>
      <c r="N199" s="118"/>
      <c r="O199" s="118"/>
      <c r="P199" s="134">
        <f t="shared" si="106"/>
        <v>5300</v>
      </c>
      <c r="Q199" s="162">
        <v>5300</v>
      </c>
      <c r="R199" s="162">
        <v>5300</v>
      </c>
      <c r="S199" s="144">
        <v>5400</v>
      </c>
      <c r="T199" s="132">
        <v>5400</v>
      </c>
      <c r="U199" s="132">
        <v>5400</v>
      </c>
    </row>
    <row r="200" spans="1:21" s="7" customFormat="1" ht="11.25">
      <c r="A200" s="8" t="s">
        <v>105</v>
      </c>
      <c r="B200" s="9"/>
      <c r="C200" s="10" t="s">
        <v>127</v>
      </c>
      <c r="D200" s="11" t="s">
        <v>128</v>
      </c>
      <c r="E200" s="12">
        <v>995300</v>
      </c>
      <c r="F200" s="13">
        <v>-23300</v>
      </c>
      <c r="G200" s="59">
        <f t="shared" si="104"/>
        <v>972000</v>
      </c>
      <c r="H200" s="64">
        <v>955500</v>
      </c>
      <c r="I200" s="13"/>
      <c r="J200" s="70">
        <f t="shared" si="105"/>
        <v>955500</v>
      </c>
      <c r="K200" s="26">
        <f>960100</f>
        <v>960100</v>
      </c>
      <c r="L200" s="113"/>
      <c r="M200" s="24">
        <f t="shared" si="107"/>
        <v>960100</v>
      </c>
      <c r="N200" s="118"/>
      <c r="O200" s="118"/>
      <c r="P200" s="134">
        <f t="shared" si="106"/>
        <v>960100</v>
      </c>
      <c r="Q200" s="162">
        <v>1017200</v>
      </c>
      <c r="R200" s="162">
        <v>1008600</v>
      </c>
      <c r="S200" s="144">
        <v>1045900</v>
      </c>
      <c r="T200" s="132">
        <v>1071200</v>
      </c>
      <c r="U200" s="132">
        <v>1017900</v>
      </c>
    </row>
    <row r="201" spans="1:21" s="7" customFormat="1" ht="11.25">
      <c r="A201" s="8"/>
      <c r="B201" s="9"/>
      <c r="C201" s="10"/>
      <c r="D201" s="18" t="s">
        <v>13</v>
      </c>
      <c r="E201" s="19">
        <f aca="true" t="shared" si="108" ref="E201:K201">SUM(E189:E194)</f>
        <v>1180300</v>
      </c>
      <c r="F201" s="20">
        <f t="shared" si="108"/>
        <v>141300</v>
      </c>
      <c r="G201" s="58">
        <f t="shared" si="108"/>
        <v>1321600</v>
      </c>
      <c r="H201" s="62">
        <f t="shared" si="108"/>
        <v>1833400</v>
      </c>
      <c r="I201" s="20">
        <f t="shared" si="108"/>
        <v>78000</v>
      </c>
      <c r="J201" s="63">
        <f t="shared" si="108"/>
        <v>1911400</v>
      </c>
      <c r="K201" s="21">
        <f t="shared" si="108"/>
        <v>976600</v>
      </c>
      <c r="L201" s="25"/>
      <c r="M201" s="25">
        <f aca="true" t="shared" si="109" ref="M201:U201">SUM(M189:M194)</f>
        <v>976600</v>
      </c>
      <c r="N201" s="25">
        <f t="shared" si="109"/>
        <v>0</v>
      </c>
      <c r="O201" s="25"/>
      <c r="P201" s="133">
        <f t="shared" si="109"/>
        <v>976600</v>
      </c>
      <c r="Q201" s="163">
        <f t="shared" si="109"/>
        <v>1033600</v>
      </c>
      <c r="R201" s="163">
        <f t="shared" si="109"/>
        <v>1035000</v>
      </c>
      <c r="S201" s="145">
        <f t="shared" si="109"/>
        <v>1112500</v>
      </c>
      <c r="T201" s="135">
        <f t="shared" si="109"/>
        <v>1087700</v>
      </c>
      <c r="U201" s="135">
        <f t="shared" si="109"/>
        <v>1023300</v>
      </c>
    </row>
    <row r="202" spans="1:21" s="7" customFormat="1" ht="11.25">
      <c r="A202" s="8"/>
      <c r="B202" s="9"/>
      <c r="C202" s="10"/>
      <c r="D202" s="18" t="s">
        <v>14</v>
      </c>
      <c r="E202" s="19">
        <f aca="true" t="shared" si="110" ref="E202:N202">SUM(E195:E200)</f>
        <v>1011100</v>
      </c>
      <c r="F202" s="20">
        <f t="shared" si="110"/>
        <v>-23300</v>
      </c>
      <c r="G202" s="58">
        <f t="shared" si="110"/>
        <v>987800</v>
      </c>
      <c r="H202" s="62">
        <f>SUM(H195:H200)</f>
        <v>970900</v>
      </c>
      <c r="I202" s="20">
        <f t="shared" si="110"/>
        <v>0</v>
      </c>
      <c r="J202" s="63">
        <f t="shared" si="110"/>
        <v>970900</v>
      </c>
      <c r="K202" s="21">
        <f t="shared" si="110"/>
        <v>976600</v>
      </c>
      <c r="L202" s="25"/>
      <c r="M202" s="25">
        <f t="shared" si="110"/>
        <v>976600</v>
      </c>
      <c r="N202" s="25">
        <f t="shared" si="110"/>
        <v>0</v>
      </c>
      <c r="O202" s="25"/>
      <c r="P202" s="133">
        <f aca="true" t="shared" si="111" ref="P202:U202">SUM(P195:P200)</f>
        <v>976600</v>
      </c>
      <c r="Q202" s="163">
        <f t="shared" si="111"/>
        <v>1033600</v>
      </c>
      <c r="R202" s="163">
        <f t="shared" si="111"/>
        <v>1025000</v>
      </c>
      <c r="S202" s="145">
        <f t="shared" si="111"/>
        <v>1062500</v>
      </c>
      <c r="T202" s="135">
        <f t="shared" si="111"/>
        <v>1087700</v>
      </c>
      <c r="U202" s="135">
        <f t="shared" si="111"/>
        <v>1034500</v>
      </c>
    </row>
    <row r="203" spans="1:21" s="7" customFormat="1" ht="11.25">
      <c r="A203" s="8"/>
      <c r="B203" s="9"/>
      <c r="C203" s="10"/>
      <c r="D203" s="18" t="s">
        <v>15</v>
      </c>
      <c r="E203" s="19">
        <f aca="true" t="shared" si="112" ref="E203:N203">E201-E202</f>
        <v>169200</v>
      </c>
      <c r="F203" s="20">
        <f t="shared" si="112"/>
        <v>164600</v>
      </c>
      <c r="G203" s="58">
        <f t="shared" si="112"/>
        <v>333800</v>
      </c>
      <c r="H203" s="62">
        <f t="shared" si="112"/>
        <v>862500</v>
      </c>
      <c r="I203" s="20">
        <f t="shared" si="112"/>
        <v>78000</v>
      </c>
      <c r="J203" s="63">
        <f t="shared" si="112"/>
        <v>940500</v>
      </c>
      <c r="K203" s="21">
        <f t="shared" si="112"/>
        <v>0</v>
      </c>
      <c r="L203" s="25"/>
      <c r="M203" s="25">
        <f t="shared" si="112"/>
        <v>0</v>
      </c>
      <c r="N203" s="25">
        <f t="shared" si="112"/>
        <v>0</v>
      </c>
      <c r="O203" s="25"/>
      <c r="P203" s="133">
        <f aca="true" t="shared" si="113" ref="P203:U203">P201-P202</f>
        <v>0</v>
      </c>
      <c r="Q203" s="163">
        <f t="shared" si="113"/>
        <v>0</v>
      </c>
      <c r="R203" s="163">
        <f t="shared" si="113"/>
        <v>10000</v>
      </c>
      <c r="S203" s="145">
        <f t="shared" si="113"/>
        <v>50000</v>
      </c>
      <c r="T203" s="135">
        <f t="shared" si="113"/>
        <v>0</v>
      </c>
      <c r="U203" s="135">
        <f t="shared" si="113"/>
        <v>-11200</v>
      </c>
    </row>
    <row r="204" spans="1:21" s="7" customFormat="1" ht="12.75">
      <c r="A204" s="8" t="s">
        <v>129</v>
      </c>
      <c r="B204" s="9"/>
      <c r="C204" s="10" t="s">
        <v>129</v>
      </c>
      <c r="D204" s="11" t="s">
        <v>129</v>
      </c>
      <c r="E204" s="16"/>
      <c r="F204" s="17"/>
      <c r="G204" s="59"/>
      <c r="H204" s="65"/>
      <c r="I204" s="28"/>
      <c r="J204" s="70"/>
      <c r="K204" s="55"/>
      <c r="L204" s="113" t="s">
        <v>158</v>
      </c>
      <c r="M204" s="24"/>
      <c r="N204" s="118"/>
      <c r="O204" s="118"/>
      <c r="P204" s="153"/>
      <c r="Q204" s="166"/>
      <c r="R204" s="166"/>
      <c r="S204" s="146"/>
      <c r="T204" s="137"/>
      <c r="U204" s="137"/>
    </row>
    <row r="205" spans="1:21" s="7" customFormat="1" ht="11.25">
      <c r="A205" s="30" t="s">
        <v>129</v>
      </c>
      <c r="B205" s="9"/>
      <c r="C205" s="10" t="s">
        <v>129</v>
      </c>
      <c r="D205" s="18" t="s">
        <v>130</v>
      </c>
      <c r="E205" s="19" t="e">
        <f>E14+E29+E43+E48+E64+#REF!+E86+#REF!+E101+E109+E115+E128+E134+E164+#REF!+E174+E180+E201+E34</f>
        <v>#REF!</v>
      </c>
      <c r="F205" s="20" t="e">
        <f>F14+F29+F43+F48+F64+#REF!+F86+#REF!+F101+F109+F115+F128+F134+F164+#REF!+F174+F180+F201+F34</f>
        <v>#REF!</v>
      </c>
      <c r="G205" s="58" t="e">
        <f>G14+G29+G43+G48+G64+G86+#REF!+G101+G109+G115+G128+G134+G164+#REF!+G174+G180+G201+G34+#REF!</f>
        <v>#REF!</v>
      </c>
      <c r="H205" s="62" t="e">
        <f>H14+H29+H43+E48+H64+H86+#REF!+H101+H109+H115+H128+H134+H164+#REF!+H174+H180+H201+H34+#REF!+#REF!+#REF!</f>
        <v>#REF!</v>
      </c>
      <c r="I205" s="20" t="e">
        <f>I14+I29+I43+F48+I64+I86+#REF!+I101+I109+I115+I128+I134+I164+#REF!+I174+I180+I201+I34+#REF!+#REF!+#REF!</f>
        <v>#REF!</v>
      </c>
      <c r="J205" s="63" t="e">
        <f>J14+J29+J43+J64+J86+#REF!+J101+J109+J115+J128+J134+J164+#REF!+J174+J180+J201+J34+#REF!+#REF!+#REF!</f>
        <v>#REF!</v>
      </c>
      <c r="K205" s="21">
        <f>K14+K29+K43+H48+K64+K86+K96+K101+K109+K115+K128+K134+K164+K174+K180+K201+K34+K54</f>
        <v>3850900</v>
      </c>
      <c r="L205" s="113" t="s">
        <v>165</v>
      </c>
      <c r="M205" s="25">
        <f>M14+M29+M43+I48+M64+M86+M96+M101+M109+M115+M128+M134+M164+M174+M180+M201+M34+M54</f>
        <v>3816900</v>
      </c>
      <c r="N205" s="25">
        <f>N14+N29+N43+J48+N64+N71+N86+N96+N101+N109+N115+N128+N134+N164+N174+N180+N201+N34+N54</f>
        <v>150000</v>
      </c>
      <c r="O205" s="25"/>
      <c r="P205" s="133">
        <f>P14+P29+P43+M48+P64+P71+P86+P96+P101+P109+P115+P128+P134+P164+P174+P180+P201+P34+P54</f>
        <v>3966900</v>
      </c>
      <c r="Q205" s="163">
        <f>Q14+Q29+Q43+N48+Q64+Q86+Q96+Q101+Q109+Q115+Q128+Q134+Q164+Q174+Q180+Q201+Q34+Q54</f>
        <v>1733900</v>
      </c>
      <c r="R205" s="163">
        <f>R14+R29+R43+P48+R64+R86+R96+R101+R109+R115+R128+R134+R164+R174+R180+R201+R34+R54+R169</f>
        <v>1845600</v>
      </c>
      <c r="S205" s="145">
        <f>S14+S29+S43+P48+S64+S86+S96+S101+S109+S115+S128+S134+S164+S174+S180+S201+S34+S54</f>
        <v>2183200</v>
      </c>
      <c r="T205" s="135">
        <f>T14+T29+T43+Q48+T64+T86+T96+T101+T109+T115+T128+T134+T164+T174+T180+T201+T34+T54</f>
        <v>2753900</v>
      </c>
      <c r="U205" s="135">
        <f>U14+U29+U43+S48+U64+U86+U96+U101+U109+U115+U128+U134+U164+U174+U180+U201+U34+U54</f>
        <v>2305500</v>
      </c>
    </row>
    <row r="206" spans="1:21" s="7" customFormat="1" ht="11.25">
      <c r="A206" s="30" t="s">
        <v>129</v>
      </c>
      <c r="B206" s="9"/>
      <c r="C206" s="10" t="s">
        <v>129</v>
      </c>
      <c r="D206" s="18" t="s">
        <v>131</v>
      </c>
      <c r="E206" s="19" t="e">
        <f>E15+E30+E44+E49+E65+#REF!+E87+#REF!+E102+E110+E116+E129+E135+E165+#REF!+E175+E181+E202+E35</f>
        <v>#REF!</v>
      </c>
      <c r="F206" s="20" t="e">
        <f>F15+F30+F44+F49+F65+#REF!+F87+#REF!+F102+F110+F116+F129+F135+F165+#REF!+F175+F181+F202+F35</f>
        <v>#REF!</v>
      </c>
      <c r="G206" s="58" t="e">
        <f>G15+G30+G44+G49+G65+G87+#REF!+G102+G110+G116+G129+G135+G165+#REF!+G175+G181+G202+G35+#REF!</f>
        <v>#REF!</v>
      </c>
      <c r="H206" s="62" t="e">
        <f>H15+H30+H44+H49+H65+#REF!+H78+H87+#REF!+H102+H110+H116+H129+H135+H165+#REF!+H175+H181+H202+H35+#REF!+#REF!</f>
        <v>#REF!</v>
      </c>
      <c r="I206" s="20" t="e">
        <f>I15+I30+I44+I49+I65+#REF!+I78+I87+#REF!+I102+I110+I116+I129+I135+I165+#REF!+I175+I181+I202+I35+#REF!+#REF!</f>
        <v>#REF!</v>
      </c>
      <c r="J206" s="63" t="e">
        <f>J15+J30+J44+J49+J65+#REF!+J78+J87+#REF!+J102+J110+J116+J129+J135+J165+#REF!+J175+J181+J202+J35+#REF!+#REF!</f>
        <v>#REF!</v>
      </c>
      <c r="K206" s="21">
        <f>K15+K30+K44+K49+K65+K78+K87+K97+K102+K110+K116+K129+K135+K165+K175+K181+K202+K35+K55</f>
        <v>5384400</v>
      </c>
      <c r="L206" s="25">
        <f>SUM(L6:L200)</f>
        <v>581600</v>
      </c>
      <c r="M206" s="25">
        <f>M15+M30+M44+M49+M65+M78+M87+M97+M102+M110+M116+M129+M135+M165+M175+M181+M202+M35+M55</f>
        <v>4768800</v>
      </c>
      <c r="N206" s="25">
        <f>N15+N30+N44+N49+N65+N72+N78+N87+N97+N102+N110+N116+N129+N135+N165+N175+N181+N202+N35+N55</f>
        <v>-35000</v>
      </c>
      <c r="O206" s="25"/>
      <c r="P206" s="133">
        <f>P15+P30+P44+P49+P65+P72+P78+P87+P97+P102+P110+P116+P129+P135+P165+P175+P181+P202+P35+P55</f>
        <v>4733800</v>
      </c>
      <c r="Q206" s="163">
        <f>Q15+Q30+Q44+Q49+Q65+Q72+Q78+Q87+Q97+Q102+Q110+Q116+Q129+Q135+Q165+Q175+Q181+Q202+Q35+Q55</f>
        <v>2406500</v>
      </c>
      <c r="R206" s="163">
        <f>R15+R30+R44+R49+R65+R72+R78+R87+R97+R102+R110+R116+R129+R135+R165+R175+R186+R181+R202+R35+R55+R170+R92</f>
        <v>3515500</v>
      </c>
      <c r="S206" s="145">
        <f>S15+S30+S44+S49+S65+S72+S78+S87+S97+S102+S110+S116+S129+S135+S165+S170+S175+S181+S186+S202+S35+S55</f>
        <v>3172700</v>
      </c>
      <c r="T206" s="135">
        <f>T15+T30+T44+T49+T65+T72+T78+T87+T97+T102+T110+T116+T129+T135+T165+T175+T181+T202+T35+T55</f>
        <v>3624300</v>
      </c>
      <c r="U206" s="135">
        <f>U15+U30+U44+U49+U65+U72+U78+U87+U97+U102+U110+U116+U129+U135+U165+U175+U181+U202+U35+U55</f>
        <v>3047300</v>
      </c>
    </row>
    <row r="207" spans="1:21" s="7" customFormat="1" ht="8.25" customHeight="1">
      <c r="A207" s="30"/>
      <c r="B207" s="9"/>
      <c r="C207" s="10"/>
      <c r="D207" s="18"/>
      <c r="E207" s="19"/>
      <c r="F207" s="20"/>
      <c r="G207" s="58"/>
      <c r="H207" s="62"/>
      <c r="I207" s="20"/>
      <c r="J207" s="63"/>
      <c r="K207" s="21"/>
      <c r="L207" s="25"/>
      <c r="M207" s="24"/>
      <c r="N207" s="118"/>
      <c r="O207" s="118"/>
      <c r="P207" s="133"/>
      <c r="Q207" s="161"/>
      <c r="R207" s="161"/>
      <c r="S207" s="143"/>
      <c r="T207" s="131"/>
      <c r="U207" s="131"/>
    </row>
    <row r="208" spans="1:21" s="7" customFormat="1" ht="11.25">
      <c r="A208" s="30"/>
      <c r="B208" s="9"/>
      <c r="C208" s="10"/>
      <c r="D208" s="18" t="s">
        <v>132</v>
      </c>
      <c r="E208" s="19" t="e">
        <f aca="true" t="shared" si="114" ref="E208:N208">E205-E206</f>
        <v>#REF!</v>
      </c>
      <c r="F208" s="20" t="e">
        <f t="shared" si="114"/>
        <v>#REF!</v>
      </c>
      <c r="G208" s="58" t="e">
        <f t="shared" si="114"/>
        <v>#REF!</v>
      </c>
      <c r="H208" s="62" t="e">
        <f>H205-H206</f>
        <v>#REF!</v>
      </c>
      <c r="I208" s="20" t="e">
        <f>I205-I206</f>
        <v>#REF!</v>
      </c>
      <c r="J208" s="63" t="e">
        <f>J205-J206</f>
        <v>#REF!</v>
      </c>
      <c r="K208" s="21">
        <f t="shared" si="114"/>
        <v>-1533500</v>
      </c>
      <c r="L208" s="25"/>
      <c r="M208" s="25">
        <f t="shared" si="114"/>
        <v>-951900</v>
      </c>
      <c r="N208" s="25">
        <f t="shared" si="114"/>
        <v>185000</v>
      </c>
      <c r="O208" s="25"/>
      <c r="P208" s="133">
        <f aca="true" t="shared" si="115" ref="P208:U208">P205-P206</f>
        <v>-766900</v>
      </c>
      <c r="Q208" s="163">
        <f t="shared" si="115"/>
        <v>-672600</v>
      </c>
      <c r="R208" s="163">
        <f t="shared" si="115"/>
        <v>-1669900</v>
      </c>
      <c r="S208" s="145">
        <f t="shared" si="115"/>
        <v>-989500</v>
      </c>
      <c r="T208" s="135">
        <f t="shared" si="115"/>
        <v>-870400</v>
      </c>
      <c r="U208" s="135">
        <f t="shared" si="115"/>
        <v>-741800</v>
      </c>
    </row>
    <row r="209" spans="1:21" s="7" customFormat="1" ht="12" thickBot="1">
      <c r="A209" s="33" t="s">
        <v>129</v>
      </c>
      <c r="B209" s="34"/>
      <c r="C209" s="35" t="s">
        <v>129</v>
      </c>
      <c r="D209" s="36"/>
      <c r="E209" s="37"/>
      <c r="F209" s="38"/>
      <c r="G209" s="60"/>
      <c r="H209" s="66"/>
      <c r="I209" s="38"/>
      <c r="J209" s="67"/>
      <c r="K209" s="56"/>
      <c r="L209" s="116"/>
      <c r="M209" s="116"/>
      <c r="N209" s="126"/>
      <c r="O209" s="126"/>
      <c r="P209" s="138"/>
      <c r="Q209" s="167"/>
      <c r="R209" s="167"/>
      <c r="S209" s="147"/>
      <c r="T209" s="141"/>
      <c r="U209" s="141"/>
    </row>
    <row r="210" spans="1:19" s="7" customFormat="1" ht="6" customHeight="1">
      <c r="A210" s="39" t="s">
        <v>129</v>
      </c>
      <c r="B210" s="40"/>
      <c r="C210" s="39" t="s">
        <v>129</v>
      </c>
      <c r="D210" s="39"/>
      <c r="E210" s="41"/>
      <c r="F210" s="41"/>
      <c r="G210" s="41"/>
      <c r="H210" s="29"/>
      <c r="I210" s="29"/>
      <c r="J210" s="71"/>
      <c r="K210" s="29"/>
      <c r="L210" s="24"/>
      <c r="M210" s="24"/>
      <c r="N210" s="118"/>
      <c r="O210" s="118"/>
      <c r="P210" s="24"/>
      <c r="Q210" s="168"/>
      <c r="R210" s="168"/>
      <c r="S210" s="29"/>
    </row>
    <row r="211" spans="1:19" s="7" customFormat="1" ht="11.25">
      <c r="A211" s="39" t="s">
        <v>129</v>
      </c>
      <c r="B211" s="40"/>
      <c r="C211" s="39" t="s">
        <v>129</v>
      </c>
      <c r="D211" s="7" t="s">
        <v>154</v>
      </c>
      <c r="E211" s="39"/>
      <c r="F211" s="41"/>
      <c r="G211" s="41"/>
      <c r="H211" s="41"/>
      <c r="I211" s="29"/>
      <c r="J211" s="29"/>
      <c r="K211" s="71"/>
      <c r="L211" s="114"/>
      <c r="M211" s="114">
        <v>987200</v>
      </c>
      <c r="N211" s="118"/>
      <c r="O211" s="31"/>
      <c r="P211" s="55"/>
      <c r="Q211" s="173"/>
      <c r="R211" s="157">
        <f>R208</f>
        <v>-1669900</v>
      </c>
      <c r="S211" s="29"/>
    </row>
    <row r="212" spans="1:18" s="7" customFormat="1" ht="11.25">
      <c r="A212" s="39"/>
      <c r="B212" s="40"/>
      <c r="C212" s="39"/>
      <c r="D212" s="7" t="s">
        <v>166</v>
      </c>
      <c r="E212" s="39"/>
      <c r="F212" s="41"/>
      <c r="G212" s="41"/>
      <c r="H212" s="41"/>
      <c r="I212" s="29"/>
      <c r="J212" s="29"/>
      <c r="K212" s="71"/>
      <c r="L212" s="114"/>
      <c r="M212" s="114">
        <v>552900</v>
      </c>
      <c r="N212" s="118"/>
      <c r="O212" s="31"/>
      <c r="P212" s="55"/>
      <c r="Q212" s="173"/>
      <c r="R212" s="157">
        <f>Q208</f>
        <v>-672600</v>
      </c>
    </row>
    <row r="213" spans="5:18" ht="2.25" customHeight="1">
      <c r="E213" s="7"/>
      <c r="F213" s="7"/>
      <c r="G213" s="42"/>
      <c r="H213" s="32"/>
      <c r="J213" s="78"/>
      <c r="K213" s="71"/>
      <c r="L213" s="114"/>
      <c r="M213" s="114"/>
      <c r="N213" s="127"/>
      <c r="O213" s="47"/>
      <c r="P213" s="55"/>
      <c r="Q213" s="171">
        <v>0</v>
      </c>
      <c r="R213" s="171"/>
    </row>
    <row r="214" spans="4:18" ht="12.75" customHeight="1">
      <c r="D214" s="91" t="s">
        <v>167</v>
      </c>
      <c r="E214" s="91"/>
      <c r="F214" s="92"/>
      <c r="G214" s="92"/>
      <c r="H214" s="92"/>
      <c r="I214" s="92"/>
      <c r="J214" s="92"/>
      <c r="K214" s="93"/>
      <c r="L214" s="117"/>
      <c r="M214" s="117">
        <f>M211-M212</f>
        <v>434300</v>
      </c>
      <c r="N214" s="128"/>
      <c r="O214" s="47"/>
      <c r="P214" s="76"/>
      <c r="Q214" s="76"/>
      <c r="R214" s="76">
        <f>(R211-R212)*-1</f>
        <v>997300</v>
      </c>
    </row>
    <row r="215" spans="4:18" ht="12.75">
      <c r="D215" s="7"/>
      <c r="E215" s="7"/>
      <c r="F215" s="42"/>
      <c r="G215" s="32"/>
      <c r="J215" s="71"/>
      <c r="K215" s="154"/>
      <c r="L215" s="154"/>
      <c r="M215" s="154"/>
      <c r="N215" s="155"/>
      <c r="O215" s="47"/>
      <c r="P215" s="14"/>
      <c r="Q215" s="171"/>
      <c r="R215" s="171"/>
    </row>
    <row r="216" spans="4:21" ht="12.75">
      <c r="D216" s="45"/>
      <c r="E216" s="46"/>
      <c r="F216" s="47"/>
      <c r="G216" s="47"/>
      <c r="H216" s="48"/>
      <c r="I216" s="48"/>
      <c r="J216" s="48"/>
      <c r="K216" s="31"/>
      <c r="L216" s="31"/>
      <c r="M216" s="31"/>
      <c r="N216" s="47"/>
      <c r="O216" s="47"/>
      <c r="P216" s="31"/>
      <c r="Q216" s="170"/>
      <c r="R216" s="170"/>
      <c r="S216" s="156"/>
      <c r="T216" s="156"/>
      <c r="U216" s="156"/>
    </row>
    <row r="217" spans="4:21" ht="12.75">
      <c r="D217" s="7"/>
      <c r="E217" s="50"/>
      <c r="F217" s="51"/>
      <c r="K217" s="47"/>
      <c r="L217" s="47"/>
      <c r="M217" s="47"/>
      <c r="N217" s="47"/>
      <c r="O217" s="47"/>
      <c r="P217" s="47"/>
      <c r="Q217" s="171"/>
      <c r="R217" s="171"/>
      <c r="S217" s="47"/>
      <c r="T217" s="47"/>
      <c r="U217" s="47"/>
    </row>
    <row r="218" spans="4:21" ht="12.75">
      <c r="D218" s="49"/>
      <c r="E218" s="47"/>
      <c r="F218" s="47"/>
      <c r="K218" s="47"/>
      <c r="L218" s="47"/>
      <c r="M218" s="47"/>
      <c r="N218" s="47"/>
      <c r="O218" s="47"/>
      <c r="P218" s="47"/>
      <c r="Q218" s="170"/>
      <c r="R218" s="170"/>
      <c r="S218" s="51"/>
      <c r="T218" s="51"/>
      <c r="U218" s="51"/>
    </row>
    <row r="219" spans="4:21" ht="12.75">
      <c r="D219" s="49"/>
      <c r="E219" s="47"/>
      <c r="F219" s="51"/>
      <c r="G219" s="47"/>
      <c r="H219" s="52"/>
      <c r="I219" s="52"/>
      <c r="J219" s="73"/>
      <c r="K219" s="79"/>
      <c r="L219" s="79"/>
      <c r="M219" s="79"/>
      <c r="N219" s="47"/>
      <c r="O219" s="47"/>
      <c r="P219" s="79"/>
      <c r="Q219" s="170"/>
      <c r="R219" s="170"/>
      <c r="S219" s="51"/>
      <c r="T219" s="51"/>
      <c r="U219" s="51"/>
    </row>
    <row r="220" spans="4:21" ht="12.75">
      <c r="D220" s="49"/>
      <c r="E220" s="47"/>
      <c r="F220" s="47"/>
      <c r="G220" s="47"/>
      <c r="H220" s="52"/>
      <c r="I220" s="52"/>
      <c r="J220" s="73"/>
      <c r="K220" s="14"/>
      <c r="L220" s="14"/>
      <c r="M220" s="14"/>
      <c r="N220" s="47"/>
      <c r="O220" s="47"/>
      <c r="P220" s="14"/>
      <c r="Q220" s="171"/>
      <c r="R220" s="171"/>
      <c r="S220" s="47"/>
      <c r="T220" s="47"/>
      <c r="U220" s="47"/>
    </row>
    <row r="221" spans="4:21" ht="12.75">
      <c r="D221" s="49"/>
      <c r="E221" s="47"/>
      <c r="F221" s="47"/>
      <c r="G221" s="77"/>
      <c r="H221" s="53"/>
      <c r="I221" s="53"/>
      <c r="J221" s="53"/>
      <c r="K221" s="53"/>
      <c r="L221" s="53"/>
      <c r="M221" s="53"/>
      <c r="N221" s="47"/>
      <c r="O221" s="47"/>
      <c r="P221" s="53"/>
      <c r="Q221" s="170"/>
      <c r="R221" s="170"/>
      <c r="S221" s="51"/>
      <c r="T221" s="51"/>
      <c r="U221" s="51"/>
    </row>
    <row r="222" spans="4:21" ht="12.75">
      <c r="D222" s="47"/>
      <c r="E222" s="47"/>
      <c r="F222" s="47"/>
      <c r="G222" s="47"/>
      <c r="H222" s="52"/>
      <c r="I222" s="52"/>
      <c r="J222" s="73"/>
      <c r="K222" s="73"/>
      <c r="L222" s="73"/>
      <c r="M222" s="73"/>
      <c r="N222" s="47"/>
      <c r="O222" s="47"/>
      <c r="P222" s="73"/>
      <c r="Q222" s="171"/>
      <c r="R222" s="171"/>
      <c r="S222" s="47"/>
      <c r="T222" s="47"/>
      <c r="U222" s="47"/>
    </row>
    <row r="223" spans="7:21" ht="12.75">
      <c r="G223" s="47"/>
      <c r="H223" s="52"/>
      <c r="I223" s="52"/>
      <c r="J223" s="76"/>
      <c r="K223" s="76"/>
      <c r="L223" s="76"/>
      <c r="M223" s="76"/>
      <c r="N223" s="47"/>
      <c r="O223" s="47"/>
      <c r="P223" s="76"/>
      <c r="Q223" s="171"/>
      <c r="R223" s="171"/>
      <c r="S223" s="47"/>
      <c r="T223" s="47"/>
      <c r="U223" s="47"/>
    </row>
    <row r="224" spans="7:21" ht="12.75">
      <c r="G224" s="47"/>
      <c r="H224" s="47"/>
      <c r="I224" s="47"/>
      <c r="J224" s="74"/>
      <c r="K224" s="74"/>
      <c r="L224" s="74"/>
      <c r="M224" s="74"/>
      <c r="N224" s="47"/>
      <c r="O224" s="47"/>
      <c r="P224" s="74"/>
      <c r="Q224" s="171"/>
      <c r="R224" s="171"/>
      <c r="S224" s="47"/>
      <c r="T224" s="47"/>
      <c r="U224" s="47"/>
    </row>
    <row r="225" spans="5:21" ht="12.75">
      <c r="E225" s="44"/>
      <c r="F225" s="44"/>
      <c r="G225" s="47"/>
      <c r="H225" s="47"/>
      <c r="I225" s="47"/>
      <c r="J225" s="74"/>
      <c r="K225" s="74"/>
      <c r="L225" s="74"/>
      <c r="M225" s="74"/>
      <c r="N225" s="47"/>
      <c r="O225" s="47"/>
      <c r="P225" s="74"/>
      <c r="Q225" s="171"/>
      <c r="R225" s="171"/>
      <c r="S225" s="47"/>
      <c r="T225" s="47"/>
      <c r="U225" s="47"/>
    </row>
    <row r="226" spans="2:21" ht="12.75">
      <c r="B226" s="3"/>
      <c r="G226" s="47"/>
      <c r="H226" s="51"/>
      <c r="I226" s="51"/>
      <c r="J226" s="51"/>
      <c r="K226" s="51"/>
      <c r="L226" s="51"/>
      <c r="M226" s="51"/>
      <c r="N226" s="47"/>
      <c r="O226" s="47"/>
      <c r="P226" s="51"/>
      <c r="Q226" s="171"/>
      <c r="R226" s="171"/>
      <c r="S226" s="47"/>
      <c r="T226" s="47"/>
      <c r="U226" s="47"/>
    </row>
    <row r="227" spans="2:21" ht="12.75">
      <c r="B227" s="3"/>
      <c r="E227" s="54"/>
      <c r="F227" s="43"/>
      <c r="G227" s="52"/>
      <c r="H227" s="52"/>
      <c r="I227" s="52"/>
      <c r="J227" s="73"/>
      <c r="K227" s="52"/>
      <c r="L227" s="52"/>
      <c r="M227" s="52"/>
      <c r="N227" s="47"/>
      <c r="O227" s="47"/>
      <c r="P227" s="52"/>
      <c r="Q227" s="171"/>
      <c r="R227" s="171"/>
      <c r="S227" s="47"/>
      <c r="T227" s="47"/>
      <c r="U227" s="47"/>
    </row>
    <row r="228" spans="2:21" ht="12.75">
      <c r="B228" s="3"/>
      <c r="E228" s="5"/>
      <c r="F228" s="44"/>
      <c r="G228" s="51"/>
      <c r="H228" s="51"/>
      <c r="I228" s="51"/>
      <c r="J228" s="80"/>
      <c r="K228" s="51"/>
      <c r="L228" s="51"/>
      <c r="M228" s="51"/>
      <c r="N228" s="47"/>
      <c r="O228" s="47"/>
      <c r="P228" s="51"/>
      <c r="Q228" s="171"/>
      <c r="R228" s="171"/>
      <c r="S228" s="47"/>
      <c r="T228" s="47"/>
      <c r="U228" s="47"/>
    </row>
    <row r="229" spans="2:21" ht="12.75">
      <c r="B229" s="3"/>
      <c r="E229" s="5"/>
      <c r="F229" s="44"/>
      <c r="G229" s="51"/>
      <c r="H229" s="51"/>
      <c r="I229" s="51"/>
      <c r="J229" s="80"/>
      <c r="K229" s="51"/>
      <c r="L229" s="51"/>
      <c r="M229" s="51"/>
      <c r="N229" s="47"/>
      <c r="O229" s="47"/>
      <c r="P229" s="51"/>
      <c r="Q229" s="171"/>
      <c r="R229" s="171"/>
      <c r="S229" s="47"/>
      <c r="T229" s="47"/>
      <c r="U229" s="47"/>
    </row>
    <row r="230" spans="2:21" ht="12.75">
      <c r="B230" s="3"/>
      <c r="E230" s="5"/>
      <c r="F230" s="44"/>
      <c r="G230" s="44"/>
      <c r="H230" s="44"/>
      <c r="I230" s="44"/>
      <c r="J230" s="72"/>
      <c r="K230" s="51"/>
      <c r="L230" s="51"/>
      <c r="M230" s="51"/>
      <c r="N230" s="47"/>
      <c r="O230" s="47"/>
      <c r="P230" s="51"/>
      <c r="Q230" s="171"/>
      <c r="R230" s="171"/>
      <c r="S230" s="47"/>
      <c r="T230" s="47"/>
      <c r="U230" s="47"/>
    </row>
    <row r="231" spans="2:21" ht="12.75">
      <c r="B231" s="3"/>
      <c r="E231" s="5"/>
      <c r="F231" s="44"/>
      <c r="G231" s="44"/>
      <c r="H231" s="44"/>
      <c r="I231" s="44"/>
      <c r="J231" s="72"/>
      <c r="K231" s="51"/>
      <c r="L231" s="51"/>
      <c r="M231" s="51"/>
      <c r="N231" s="47"/>
      <c r="O231" s="47"/>
      <c r="P231" s="51"/>
      <c r="Q231" s="171"/>
      <c r="R231" s="171"/>
      <c r="S231" s="47"/>
      <c r="T231" s="47"/>
      <c r="U231" s="47"/>
    </row>
    <row r="232" spans="2:21" ht="12.75">
      <c r="B232" s="3"/>
      <c r="E232" s="5"/>
      <c r="F232" s="44"/>
      <c r="G232" s="44"/>
      <c r="H232" s="44"/>
      <c r="I232" s="44"/>
      <c r="J232" s="72"/>
      <c r="K232" s="51"/>
      <c r="L232" s="51"/>
      <c r="M232" s="51"/>
      <c r="N232" s="47"/>
      <c r="O232" s="47"/>
      <c r="P232" s="51"/>
      <c r="Q232" s="171"/>
      <c r="R232" s="171"/>
      <c r="S232" s="47"/>
      <c r="T232" s="47"/>
      <c r="U232" s="47"/>
    </row>
    <row r="233" spans="2:21" ht="12.75">
      <c r="B233" s="3"/>
      <c r="E233" s="5"/>
      <c r="K233" s="47"/>
      <c r="L233" s="47"/>
      <c r="M233" s="47"/>
      <c r="N233" s="47"/>
      <c r="O233" s="47"/>
      <c r="P233" s="47"/>
      <c r="Q233" s="171"/>
      <c r="R233" s="171"/>
      <c r="S233" s="47"/>
      <c r="T233" s="47"/>
      <c r="U233" s="47"/>
    </row>
    <row r="234" spans="2:21" ht="12.75">
      <c r="B234" s="3"/>
      <c r="K234" s="47"/>
      <c r="L234" s="47"/>
      <c r="M234" s="47"/>
      <c r="N234" s="47"/>
      <c r="O234" s="47"/>
      <c r="P234" s="47"/>
      <c r="Q234" s="171"/>
      <c r="R234" s="171"/>
      <c r="S234" s="47"/>
      <c r="T234" s="47"/>
      <c r="U234" s="47"/>
    </row>
    <row r="235" spans="2:21" ht="12.75">
      <c r="B235" s="3"/>
      <c r="K235" s="47"/>
      <c r="L235" s="47"/>
      <c r="M235" s="47"/>
      <c r="N235" s="47"/>
      <c r="O235" s="47"/>
      <c r="P235" s="47"/>
      <c r="Q235" s="171"/>
      <c r="R235" s="171"/>
      <c r="S235" s="47"/>
      <c r="T235" s="47"/>
      <c r="U235" s="47"/>
    </row>
    <row r="236" spans="2:21" ht="12.75">
      <c r="B236" s="3"/>
      <c r="K236" s="47"/>
      <c r="L236" s="47"/>
      <c r="M236" s="47"/>
      <c r="N236" s="47"/>
      <c r="O236" s="47"/>
      <c r="P236" s="47"/>
      <c r="Q236" s="171"/>
      <c r="R236" s="171"/>
      <c r="S236" s="47"/>
      <c r="T236" s="47"/>
      <c r="U236" s="47"/>
    </row>
    <row r="237" spans="2:21" ht="12.75">
      <c r="B237" s="3"/>
      <c r="K237" s="47"/>
      <c r="L237" s="47"/>
      <c r="M237" s="47"/>
      <c r="N237" s="47"/>
      <c r="O237" s="47"/>
      <c r="P237" s="47"/>
      <c r="Q237" s="171"/>
      <c r="R237" s="171"/>
      <c r="S237" s="47"/>
      <c r="T237" s="47"/>
      <c r="U237" s="47"/>
    </row>
    <row r="238" spans="2:21" ht="12.75">
      <c r="B238" s="3"/>
      <c r="K238" s="47"/>
      <c r="L238" s="47"/>
      <c r="M238" s="47"/>
      <c r="N238" s="47"/>
      <c r="O238" s="47"/>
      <c r="P238" s="47"/>
      <c r="Q238" s="171"/>
      <c r="R238" s="171"/>
      <c r="S238" s="47"/>
      <c r="T238" s="47"/>
      <c r="U238" s="47"/>
    </row>
    <row r="239" spans="2:21" ht="12.75">
      <c r="B239" s="3"/>
      <c r="K239" s="47"/>
      <c r="L239" s="47"/>
      <c r="M239" s="47"/>
      <c r="N239" s="47"/>
      <c r="O239" s="47"/>
      <c r="P239" s="47"/>
      <c r="Q239" s="171"/>
      <c r="R239" s="171"/>
      <c r="S239" s="47"/>
      <c r="T239" s="47"/>
      <c r="U239" s="47"/>
    </row>
    <row r="240" spans="2:21" ht="12.75">
      <c r="B240" s="3"/>
      <c r="K240" s="47"/>
      <c r="L240" s="47"/>
      <c r="M240" s="47"/>
      <c r="N240" s="47"/>
      <c r="O240" s="47"/>
      <c r="P240" s="47"/>
      <c r="Q240" s="171"/>
      <c r="R240" s="171"/>
      <c r="S240" s="47"/>
      <c r="T240" s="47"/>
      <c r="U240" s="47"/>
    </row>
    <row r="241" spans="2:21" ht="12.75">
      <c r="B241" s="3"/>
      <c r="K241" s="47"/>
      <c r="L241" s="47"/>
      <c r="M241" s="47"/>
      <c r="N241" s="47"/>
      <c r="O241" s="47"/>
      <c r="P241" s="47"/>
      <c r="Q241" s="171"/>
      <c r="R241" s="171"/>
      <c r="S241" s="47"/>
      <c r="T241" s="47"/>
      <c r="U241" s="47"/>
    </row>
    <row r="242" spans="11:21" ht="12.75">
      <c r="K242" s="47"/>
      <c r="L242" s="47"/>
      <c r="M242" s="47"/>
      <c r="N242" s="47"/>
      <c r="O242" s="47"/>
      <c r="P242" s="47"/>
      <c r="Q242" s="171"/>
      <c r="R242" s="171"/>
      <c r="S242" s="47"/>
      <c r="T242" s="47"/>
      <c r="U242" s="47"/>
    </row>
    <row r="243" spans="11:21" ht="12.75">
      <c r="K243" s="47"/>
      <c r="L243" s="47"/>
      <c r="M243" s="47"/>
      <c r="N243" s="47"/>
      <c r="O243" s="47"/>
      <c r="P243" s="47"/>
      <c r="Q243" s="171"/>
      <c r="R243" s="171"/>
      <c r="S243" s="47"/>
      <c r="T243" s="47"/>
      <c r="U243" s="47"/>
    </row>
    <row r="244" spans="11:21" ht="12.75">
      <c r="K244" s="47"/>
      <c r="L244" s="47"/>
      <c r="M244" s="47"/>
      <c r="N244" s="47"/>
      <c r="O244" s="47"/>
      <c r="P244" s="47"/>
      <c r="Q244" s="170"/>
      <c r="R244" s="170"/>
      <c r="S244" s="51"/>
      <c r="T244" s="47"/>
      <c r="U244" s="47"/>
    </row>
    <row r="245" spans="11:21" ht="12.75">
      <c r="K245" s="47"/>
      <c r="L245" s="47"/>
      <c r="M245" s="47"/>
      <c r="N245" s="47"/>
      <c r="O245" s="47"/>
      <c r="P245" s="47"/>
      <c r="Q245" s="171"/>
      <c r="R245" s="171"/>
      <c r="S245" s="47"/>
      <c r="T245" s="47"/>
      <c r="U245" s="47"/>
    </row>
    <row r="246" spans="11:21" ht="12.75">
      <c r="K246" s="47"/>
      <c r="L246" s="47"/>
      <c r="M246" s="47"/>
      <c r="N246" s="47"/>
      <c r="O246" s="47"/>
      <c r="P246" s="47"/>
      <c r="Q246" s="171"/>
      <c r="R246" s="171"/>
      <c r="S246" s="47"/>
      <c r="T246" s="47"/>
      <c r="U246" s="47"/>
    </row>
    <row r="247" spans="11:21" ht="12.75">
      <c r="K247" s="47"/>
      <c r="L247" s="47"/>
      <c r="M247" s="47"/>
      <c r="N247" s="47"/>
      <c r="O247" s="47"/>
      <c r="P247" s="47"/>
      <c r="Q247" s="170"/>
      <c r="R247" s="170"/>
      <c r="S247" s="51"/>
      <c r="T247" s="47"/>
      <c r="U247" s="47"/>
    </row>
    <row r="248" spans="11:21" ht="12.75">
      <c r="K248" s="47"/>
      <c r="L248" s="47"/>
      <c r="M248" s="47"/>
      <c r="N248" s="47"/>
      <c r="O248" s="47"/>
      <c r="P248" s="47"/>
      <c r="Q248" s="171"/>
      <c r="R248" s="171"/>
      <c r="S248" s="47"/>
      <c r="T248" s="47"/>
      <c r="U248" s="47"/>
    </row>
    <row r="249" spans="11:21" ht="12.75">
      <c r="K249" s="47"/>
      <c r="L249" s="47"/>
      <c r="M249" s="47"/>
      <c r="N249" s="47"/>
      <c r="O249" s="47"/>
      <c r="P249" s="47"/>
      <c r="Q249" s="171"/>
      <c r="R249" s="171"/>
      <c r="S249" s="47"/>
      <c r="T249" s="47"/>
      <c r="U249" s="47"/>
    </row>
    <row r="250" spans="11:21" ht="12.75">
      <c r="K250" s="47"/>
      <c r="L250" s="47"/>
      <c r="M250" s="47"/>
      <c r="N250" s="47"/>
      <c r="O250" s="47"/>
      <c r="P250" s="47"/>
      <c r="Q250" s="171"/>
      <c r="R250" s="171"/>
      <c r="S250" s="47"/>
      <c r="T250" s="47"/>
      <c r="U250" s="47"/>
    </row>
    <row r="251" spans="11:21" ht="12.75">
      <c r="K251" s="47"/>
      <c r="L251" s="47"/>
      <c r="M251" s="47"/>
      <c r="N251" s="47"/>
      <c r="O251" s="47"/>
      <c r="P251" s="47"/>
      <c r="Q251" s="171"/>
      <c r="R251" s="171"/>
      <c r="S251" s="47"/>
      <c r="T251" s="47"/>
      <c r="U251" s="47"/>
    </row>
    <row r="252" spans="11:21" ht="12.75">
      <c r="K252" s="47"/>
      <c r="L252" s="47"/>
      <c r="M252" s="47"/>
      <c r="N252" s="47"/>
      <c r="O252" s="47"/>
      <c r="P252" s="47"/>
      <c r="Q252" s="171"/>
      <c r="R252" s="171"/>
      <c r="S252" s="47"/>
      <c r="T252" s="47"/>
      <c r="U252" s="47"/>
    </row>
  </sheetData>
  <sheetProtection/>
  <mergeCells count="1">
    <mergeCell ref="A3:C3"/>
  </mergeCells>
  <printOptions/>
  <pageMargins left="0.3937007874015748" right="0.3937007874015748" top="0.5118110236220472" bottom="0.31496062992125984" header="0.2362204724409449" footer="0.15748031496062992"/>
  <pageSetup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Koop</dc:creator>
  <cp:keywords/>
  <dc:description/>
  <cp:lastModifiedBy>Möller</cp:lastModifiedBy>
  <cp:lastPrinted>2015-10-30T10:08:47Z</cp:lastPrinted>
  <dcterms:created xsi:type="dcterms:W3CDTF">2013-11-13T12:16:43Z</dcterms:created>
  <dcterms:modified xsi:type="dcterms:W3CDTF">2015-10-30T10:30:42Z</dcterms:modified>
  <cp:category/>
  <cp:version/>
  <cp:contentType/>
  <cp:contentStatus/>
</cp:coreProperties>
</file>