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35" yWindow="315" windowWidth="11265" windowHeight="11580" activeTab="0"/>
  </bookViews>
  <sheets>
    <sheet name="VermHH" sheetId="1" r:id="rId1"/>
  </sheets>
  <definedNames>
    <definedName name="_xlnm.Print_Area" localSheetId="0">'VermHH'!$A$1:$N$204</definedName>
    <definedName name="_xlnm.Print_Titles" localSheetId="0">'VermHH'!$2:$2</definedName>
  </definedNames>
  <calcPr fullCalcOnLoad="1"/>
</workbook>
</file>

<file path=xl/comments1.xml><?xml version="1.0" encoding="utf-8"?>
<comments xmlns="http://schemas.openxmlformats.org/spreadsheetml/2006/main">
  <authors>
    <author>Koop</author>
  </authors>
  <commentList>
    <comment ref="K133" authorId="0">
      <text>
        <r>
          <rPr>
            <b/>
            <sz val="9"/>
            <rFont val="Tahoma"/>
            <family val="2"/>
          </rPr>
          <t>Koop:</t>
        </r>
        <r>
          <rPr>
            <sz val="9"/>
            <rFont val="Tahoma"/>
            <family val="2"/>
          </rPr>
          <t xml:space="preserve">
+36.500 € NT-HH 2013</t>
        </r>
      </text>
    </comment>
  </commentList>
</comments>
</file>

<file path=xl/sharedStrings.xml><?xml version="1.0" encoding="utf-8"?>
<sst xmlns="http://schemas.openxmlformats.org/spreadsheetml/2006/main" count="354" uniqueCount="222">
  <si>
    <t>Vermögenshaushalt 2014 + Investitionsprogramm</t>
  </si>
  <si>
    <t>Anlage 5</t>
  </si>
  <si>
    <t>HH-Stelle</t>
  </si>
  <si>
    <t>Bezeichnung</t>
  </si>
  <si>
    <t>Ansatz 2013</t>
  </si>
  <si>
    <t>Änderung Nachtrag</t>
  </si>
  <si>
    <t xml:space="preserve">Ansatz 2013 </t>
  </si>
  <si>
    <t>Ansatz 2014</t>
  </si>
  <si>
    <t>Plan 2015</t>
  </si>
  <si>
    <t>Plan 2016</t>
  </si>
  <si>
    <t>Plan 2017</t>
  </si>
  <si>
    <t>UA 020</t>
  </si>
  <si>
    <t>Fachbereich Zentrale Dienste</t>
  </si>
  <si>
    <t>020</t>
  </si>
  <si>
    <t>9350</t>
  </si>
  <si>
    <t>Erwerb von beweglichen Sachen</t>
  </si>
  <si>
    <t>9351</t>
  </si>
  <si>
    <t>Erwerb/Erweiterung EDV-Anlage</t>
  </si>
  <si>
    <t>neu</t>
  </si>
  <si>
    <t>IT-Kooperation Kreis (statt eigener Anschaffungen)</t>
  </si>
  <si>
    <t xml:space="preserve">Einnahmen </t>
  </si>
  <si>
    <t>Ausgaben</t>
  </si>
  <si>
    <t>Saldo</t>
  </si>
  <si>
    <t>UA 130</t>
  </si>
  <si>
    <t>Brandschutz</t>
  </si>
  <si>
    <t>130</t>
  </si>
  <si>
    <t>Erwerb Digitalfunk</t>
  </si>
  <si>
    <t>Zuschuss Kreis (Erwerb Digitalfunk)</t>
  </si>
  <si>
    <t>Bau- und Planungskosten (Blechfassade Halle 3, Fassadensanierung)</t>
  </si>
  <si>
    <r>
      <t xml:space="preserve">2014 </t>
    </r>
    <r>
      <rPr>
        <b/>
        <sz val="8"/>
        <rFont val="Arial"/>
        <family val="2"/>
      </rPr>
      <t>+ 15 T€</t>
    </r>
  </si>
  <si>
    <t>Erwerb von beweglichen Sachen (Beschaffung Einsatzleitwagen)</t>
  </si>
  <si>
    <t>Verkaufserlös "altes Feuerwehrfahrzeug"</t>
  </si>
  <si>
    <t>36xx</t>
  </si>
  <si>
    <t>Zuschuss (Sonderbedarfszuweisung nach §17 FAG)</t>
  </si>
  <si>
    <t>Erwerb von beweglichen Sachen (Beschaffung Mannschaftstransportwagen)</t>
  </si>
  <si>
    <t>Bau- und Planungskosten (Dachsanierung)</t>
  </si>
  <si>
    <r>
      <t xml:space="preserve">2015 </t>
    </r>
    <r>
      <rPr>
        <b/>
        <sz val="8"/>
        <rFont val="Arial"/>
        <family val="2"/>
      </rPr>
      <t>+180 T€</t>
    </r>
    <r>
      <rPr>
        <sz val="8"/>
        <rFont val="Arial"/>
        <family val="2"/>
      </rPr>
      <t xml:space="preserve">, 2016 </t>
    </r>
    <r>
      <rPr>
        <b/>
        <sz val="8"/>
        <rFont val="Arial"/>
        <family val="2"/>
      </rPr>
      <t>+120 T€</t>
    </r>
  </si>
  <si>
    <t>UA 160</t>
  </si>
  <si>
    <t>Rettungsdienst</t>
  </si>
  <si>
    <t>x</t>
  </si>
  <si>
    <t>Zuschuss an DLRG (Einführung Digitalfunk)</t>
  </si>
  <si>
    <t>UA 230</t>
  </si>
  <si>
    <t>Lauenburgische Gelehrtenschule</t>
  </si>
  <si>
    <t>230</t>
  </si>
  <si>
    <t>3610</t>
  </si>
  <si>
    <t>Zuweisung des Landes (Partnerschule Leistungssport)</t>
  </si>
  <si>
    <r>
      <t xml:space="preserve">2014 </t>
    </r>
    <r>
      <rPr>
        <b/>
        <sz val="8"/>
        <rFont val="Arial"/>
        <family val="2"/>
      </rPr>
      <t>+15 T€</t>
    </r>
  </si>
  <si>
    <t>9352</t>
  </si>
  <si>
    <t>Anschaffung langlebiger Sportgeräte/med. Geräte (Partnerschule Leistungssport)</t>
  </si>
  <si>
    <t>Einrichtung Wasserleitung zur Osmosevermeidung</t>
  </si>
  <si>
    <t>UA 352</t>
  </si>
  <si>
    <t>Stadtbücherei</t>
  </si>
  <si>
    <t>352</t>
  </si>
  <si>
    <t>3620</t>
  </si>
  <si>
    <t>Zuweisung Kreis</t>
  </si>
  <si>
    <t>3670</t>
  </si>
  <si>
    <t>Zuweisung von Gesellsch./Körperschaften</t>
  </si>
  <si>
    <t>9353</t>
  </si>
  <si>
    <t>Anschaffung Bücher/Medien</t>
  </si>
  <si>
    <t>Einführung "Onleihe"</t>
  </si>
  <si>
    <t>dazu Zuschuss</t>
  </si>
  <si>
    <t>UA 4515</t>
  </si>
  <si>
    <t>Sonstige Jugendarbeit</t>
  </si>
  <si>
    <t>Erwerb von beweglichen Sachen (Werkstattausrüstung)</t>
  </si>
  <si>
    <t>UA 4601</t>
  </si>
  <si>
    <t>Ratzeburger Jugendzentren</t>
  </si>
  <si>
    <t xml:space="preserve">Neuer Eingang Jugendzentrum Stellwerk </t>
  </si>
  <si>
    <t>Umbaumaßnahmen Stellwerk</t>
  </si>
  <si>
    <t>UA 4602</t>
  </si>
  <si>
    <t>Jugend- und Sportheim Riemannstraße</t>
  </si>
  <si>
    <t xml:space="preserve">Erwerb von bewegl. Sachen </t>
  </si>
  <si>
    <t>Bau- und Planungskosten (Fenstererneuerung Jobcenter)</t>
  </si>
  <si>
    <t>Lüftungsanlage Dusch- u. Umkleideräume</t>
  </si>
  <si>
    <t>UA 4640</t>
  </si>
  <si>
    <t>Kindergarten "Domhof"</t>
  </si>
  <si>
    <t>Einrichtung/Installation Sonnenschutz, KiGa Domhof</t>
  </si>
  <si>
    <t>UA 468</t>
  </si>
  <si>
    <t>übrige Einrichtungen der Jugendhilfe</t>
  </si>
  <si>
    <t>468</t>
  </si>
  <si>
    <t>Erwerb v. beweglichen Sachen (Kinderspielplätze: Spielgeräte/Zaunanlage)</t>
  </si>
  <si>
    <t xml:space="preserve"> </t>
  </si>
  <si>
    <t>UA 560</t>
  </si>
  <si>
    <t>Sportplatz Riemannstraße</t>
  </si>
  <si>
    <t>Tennenlaufbahn Riemannsportplatz</t>
  </si>
  <si>
    <t>Erneuerung Kunstrasenplatz Riemannstraße</t>
  </si>
  <si>
    <t>UA 580</t>
  </si>
  <si>
    <t>Park- und Gartenanlagen</t>
  </si>
  <si>
    <t>Erwerb von beweglichen Sachen (Papierkörbe)</t>
  </si>
  <si>
    <t>580</t>
  </si>
  <si>
    <t>9356</t>
  </si>
  <si>
    <t>Tütenautomaten für Hundekotbeseitigung</t>
  </si>
  <si>
    <t>UA 610</t>
  </si>
  <si>
    <t>Orts- und Regionalplanung</t>
  </si>
  <si>
    <t>610</t>
  </si>
  <si>
    <t>3400</t>
  </si>
  <si>
    <t>Erlöse aus Grundstücksverkäufen</t>
  </si>
  <si>
    <t>9407</t>
  </si>
  <si>
    <t>Ortsplanung</t>
  </si>
  <si>
    <t>3600</t>
  </si>
  <si>
    <t>Zuweisung Bund (Städtebauförderung "Kleinere Städte und Gemeinden")</t>
  </si>
  <si>
    <t>Zuweisung Land (Städtebauförderung "Kleinere Städte und Gemeinden")</t>
  </si>
  <si>
    <t>9402</t>
  </si>
  <si>
    <t>Umsetzung d. Städtebauförderungsmaßnahmen "Kleinere Städte u. Gemeinden")</t>
  </si>
  <si>
    <t>UA 620</t>
  </si>
  <si>
    <t>Wohnungsbauförderung</t>
  </si>
  <si>
    <t>620</t>
  </si>
  <si>
    <t>3271</t>
  </si>
  <si>
    <t>Tilgung Baudarlehen</t>
  </si>
  <si>
    <t>9823</t>
  </si>
  <si>
    <t>Rückzahlung Kreismittel</t>
  </si>
  <si>
    <t>UA 630</t>
  </si>
  <si>
    <t>Gemeindestraßen</t>
  </si>
  <si>
    <t>630</t>
  </si>
  <si>
    <t>3520</t>
  </si>
  <si>
    <t>Ablösung Einstellplätze</t>
  </si>
  <si>
    <t>Bau- und Planungskosten (Planung/Neubau stadteigener Brücken)</t>
  </si>
  <si>
    <t>9500</t>
  </si>
  <si>
    <t>Ausbau- und Planungskosten (Anbindung Gewerbegebiet B 208)</t>
  </si>
  <si>
    <t>Bau- und Planungskosten (Umbau Ziethener Straße)</t>
  </si>
  <si>
    <t>3xxx</t>
  </si>
  <si>
    <t>KAG-Beiträge (Umbau Ziethener Straße)</t>
  </si>
  <si>
    <t>Bau- und Planungskosten (Uferpromenade Reeperbahn)</t>
  </si>
  <si>
    <t>Zuweisung Bund</t>
  </si>
  <si>
    <t>Zuweisung des Landes (GVFG-Mittel)</t>
  </si>
  <si>
    <t>3650</t>
  </si>
  <si>
    <t>Zuweisung (anteilig) Ratzeburger Wirtschaftsbetriebe</t>
  </si>
  <si>
    <t>Beiträge dazu</t>
  </si>
  <si>
    <t>Ausbau- und Planungskosten</t>
  </si>
  <si>
    <t>Bau- und Planungskosten (Ausbau Forellenweg)</t>
  </si>
  <si>
    <t>Bau- und Planungskosten (Ausbau Bäker Weg)</t>
  </si>
  <si>
    <t>Anliegerbeiträge (Ausbau Bäker Weg)</t>
  </si>
  <si>
    <t>Bau- und Planungskosten (Erneuerung/Neubau Radwege in Ratzeburg)</t>
  </si>
  <si>
    <t>Ausbau- und Planungskosten (Ausbau Straße Domhof)</t>
  </si>
  <si>
    <t>Zuweisung Bund / Land ("Städebaulicher Denkmalschutz")</t>
  </si>
  <si>
    <t>Anliegerbeiträge (Ausbau Domhof)</t>
  </si>
  <si>
    <t>Bau- und Planungskosten (Ausbau Bergstraße)</t>
  </si>
  <si>
    <t>Anliegerbeiträge (Ausbau Bergstraße)</t>
  </si>
  <si>
    <t>Kleinbahnbrücke Aqua Siwa</t>
  </si>
  <si>
    <t>Zuweisung Land</t>
  </si>
  <si>
    <t>Anbindung Blindenleitsystem, Bahnhof Hausbahnsteig</t>
  </si>
  <si>
    <t>Erneuerung Straßenoberfläche Dermin (Kostenbeteiligung)</t>
  </si>
  <si>
    <t>UA 670</t>
  </si>
  <si>
    <t>Straßenbeleuchtung</t>
  </si>
  <si>
    <t>670</t>
  </si>
  <si>
    <t>Zuweisung Bund (Erneuerung Straßenbeleuchtung)</t>
  </si>
  <si>
    <t>9600</t>
  </si>
  <si>
    <t>Erneuerung abgängiger Straßenbeleuchtung</t>
  </si>
  <si>
    <t>UA 690</t>
  </si>
  <si>
    <t>Wasserläufe, Wasserbau</t>
  </si>
  <si>
    <t>690</t>
  </si>
  <si>
    <t>9400</t>
  </si>
  <si>
    <t>Bau- und Planungskosten</t>
  </si>
  <si>
    <t>UA 880</t>
  </si>
  <si>
    <t>Allgemeines Grundvermögen</t>
  </si>
  <si>
    <t>880</t>
  </si>
  <si>
    <t>UA 910</t>
  </si>
  <si>
    <t>Sonstige allgemeine Finanzwirtschaft</t>
  </si>
  <si>
    <t>910</t>
  </si>
  <si>
    <t>3000</t>
  </si>
  <si>
    <t>Zuführung vom Verwaltungshaushalt</t>
  </si>
  <si>
    <t>3001</t>
  </si>
  <si>
    <t>Zuführung vom Verwaltungshaushalt (Stiftung Altenhilfe)</t>
  </si>
  <si>
    <t>3002</t>
  </si>
  <si>
    <t>Zuführung vom Verwaltungshaushalt (Stiftung Ratzeburger Wohltäter)</t>
  </si>
  <si>
    <t>3100</t>
  </si>
  <si>
    <t>Entnahme aus Rücklagen</t>
  </si>
  <si>
    <t>3190</t>
  </si>
  <si>
    <t>Entnahme aus Stiftungsrücklagen</t>
  </si>
  <si>
    <t>3191</t>
  </si>
  <si>
    <t>Entnahme Stiftungsrücklage 'Altenhilfe'</t>
  </si>
  <si>
    <t>3778</t>
  </si>
  <si>
    <t>Darlehen privaten Unternehmen</t>
  </si>
  <si>
    <t>9000</t>
  </si>
  <si>
    <t>Zuführung zum Verwaltungshaushalt</t>
  </si>
  <si>
    <t>9100</t>
  </si>
  <si>
    <t>Zuführung an Rücklagen</t>
  </si>
  <si>
    <t>9190</t>
  </si>
  <si>
    <t>Zuführung an die Stiftungsrücklage (Stiftung Altenhilfe)</t>
  </si>
  <si>
    <t>Zuführung an die Stiftungsrücklage (Stiftung Ratzeburger Wohltäter)</t>
  </si>
  <si>
    <t>9708</t>
  </si>
  <si>
    <t>Tilgung Bundesdarlehen</t>
  </si>
  <si>
    <t>9788</t>
  </si>
  <si>
    <t>Tilgung übrige Bereiche</t>
  </si>
  <si>
    <t/>
  </si>
  <si>
    <t>Einnahmen VMH</t>
  </si>
  <si>
    <t>Ausgaben VMH</t>
  </si>
  <si>
    <t>Fachausschus/
bereich (+/-)</t>
  </si>
  <si>
    <r>
      <t xml:space="preserve">2014 </t>
    </r>
    <r>
      <rPr>
        <b/>
        <sz val="8"/>
        <rFont val="Arial"/>
        <family val="2"/>
      </rPr>
      <t>+34 T€</t>
    </r>
  </si>
  <si>
    <r>
      <t xml:space="preserve">2014 </t>
    </r>
    <r>
      <rPr>
        <b/>
        <sz val="8"/>
        <rFont val="Arial"/>
        <family val="2"/>
      </rPr>
      <t>+10 T€, Sperrvermerk ASJS</t>
    </r>
  </si>
  <si>
    <t xml:space="preserve">Saldo </t>
  </si>
  <si>
    <t>Zuschuss Kreis (Feuerschutzsteuer)</t>
  </si>
  <si>
    <t>Zuweisung des Landes (GVFG-/ÖPNV-Mittel), Umgestaltung/Ausbau Marktplatz</t>
  </si>
  <si>
    <t>Umbau Knotenpunkt "B 208/Unter den Linden/Töpferstraße"-ÖPNV-Maßnahme</t>
  </si>
  <si>
    <t>Stützmauer Am Mühlengraben</t>
  </si>
  <si>
    <t>Lüftungsanlage Gaststätte im Ju.- u. Sportheim</t>
  </si>
  <si>
    <t>Beleuchtungssteuerung Rathaus</t>
  </si>
  <si>
    <t>UA 615</t>
  </si>
  <si>
    <t>städtebaul. Sanierungs.-/Entwickl.-Maßn.</t>
  </si>
  <si>
    <t>Zuweisung von Privaten (Dritter) - Marktplatzbegrünung</t>
  </si>
  <si>
    <t>VE!</t>
  </si>
  <si>
    <t>Zuweisung von Privaten (Dritter) - Kickboxtraniingsfläche</t>
  </si>
  <si>
    <t>Bushaltestelle Ziethener Straße  (GVFG-Förderung)</t>
  </si>
  <si>
    <t>Bushaltestelle Ziethener Straße (Bau- und Planungskosten)</t>
  </si>
  <si>
    <t>Zaunanlage Ricarda-Huch-Weg (Erstattung Wohnungsbaugesellschaft)</t>
  </si>
  <si>
    <t>Zaunanlage Ricarda-Huch-Weg (Bau- und Planungskosten)</t>
  </si>
  <si>
    <t xml:space="preserve">Shared Space, Schrangenstraße (Abschnitt Am Markt - Kl. Wallstraße) </t>
  </si>
  <si>
    <r>
      <t xml:space="preserve">Herstellung einer Kickboxtrainingsfläche (Erwerb Trainingsgeräte) - </t>
    </r>
    <r>
      <rPr>
        <b/>
        <sz val="8"/>
        <rFont val="Verdana"/>
        <family val="2"/>
      </rPr>
      <t>Sperrvermerk</t>
    </r>
  </si>
  <si>
    <r>
      <t xml:space="preserve">Erwerb von beweglichen Sachen (Beschaffung Drehleiter/Hubsteiger) </t>
    </r>
    <r>
      <rPr>
        <b/>
        <sz val="8"/>
        <rFont val="Verdana"/>
        <family val="2"/>
      </rPr>
      <t>(+VE)</t>
    </r>
  </si>
  <si>
    <r>
      <t xml:space="preserve">Bau- und Planungskosten (Marktplatzbegrünung) - </t>
    </r>
    <r>
      <rPr>
        <b/>
        <sz val="8"/>
        <rFont val="Verdana"/>
        <family val="2"/>
      </rPr>
      <t>Sperrvermerk</t>
    </r>
  </si>
  <si>
    <t>Mehr-/Minderbedarf Kreditaufnahme (+/-):</t>
  </si>
  <si>
    <t>2. Nachtrag
(+/-)</t>
  </si>
  <si>
    <t>Ursprung +1. NT 2014</t>
  </si>
  <si>
    <t>Bau- und Planungskosten (Umzug Archiv)</t>
  </si>
  <si>
    <t>frühere Jahre</t>
  </si>
  <si>
    <t>Gesamt</t>
  </si>
  <si>
    <t>lt. Mohns</t>
  </si>
  <si>
    <t>Diff</t>
  </si>
  <si>
    <t>Stadtanteil</t>
  </si>
  <si>
    <t>SüSa Gesamt</t>
  </si>
  <si>
    <t>UA 320</t>
  </si>
  <si>
    <t>Ernst-Barlach-Museum u. Stadtarchiv</t>
  </si>
  <si>
    <t>Bundes- und Landeszuschuss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</si>
</sst>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/>
      <right style="hair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>
        <color indexed="63"/>
      </top>
      <bottom>
        <color indexed="63"/>
      </bottom>
    </border>
    <border>
      <left style="dashed"/>
      <right style="dashed"/>
      <top/>
      <bottom/>
    </border>
    <border>
      <left/>
      <right style="medium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ashed"/>
      <right style="dashed"/>
      <top/>
      <bottom style="medium"/>
    </border>
    <border>
      <left/>
      <right style="medium"/>
      <top/>
      <bottom style="medium"/>
    </border>
    <border>
      <left style="dotted"/>
      <right>
        <color indexed="63"/>
      </right>
      <top/>
      <bottom style="medium"/>
    </border>
    <border>
      <left style="medium"/>
      <right style="dotted"/>
      <top/>
      <bottom/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/>
      <bottom style="medium"/>
    </border>
    <border>
      <left style="dotted"/>
      <right style="medium"/>
      <top/>
      <bottom style="medium"/>
    </border>
    <border>
      <left style="dotted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>
        <color indexed="63"/>
      </right>
      <top style="thin"/>
      <bottom/>
    </border>
    <border>
      <left style="medium"/>
      <right style="dotted"/>
      <top style="thin"/>
      <bottom/>
    </border>
    <border>
      <left style="dotted"/>
      <right style="medium"/>
      <top style="thin"/>
      <bottom/>
    </border>
    <border>
      <left style="dashed"/>
      <right style="dashed"/>
      <top style="thin"/>
      <bottom/>
    </border>
    <border>
      <left style="thin"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>
        <color indexed="63"/>
      </right>
      <top/>
      <bottom style="thin"/>
    </border>
    <border>
      <left style="medium"/>
      <right style="dotted"/>
      <top/>
      <bottom style="thin"/>
    </border>
    <border>
      <left style="dotted"/>
      <right style="medium"/>
      <top/>
      <bottom style="thin"/>
    </border>
    <border>
      <left style="dashed"/>
      <right style="dashed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3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8" borderId="0" applyNumberFormat="0" applyBorder="0" applyAlignment="0" applyProtection="0"/>
    <xf numFmtId="0" fontId="32" fillId="9" borderId="0" applyNumberFormat="0" applyBorder="0" applyAlignment="0" applyProtection="0"/>
    <xf numFmtId="0" fontId="33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32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32" fillId="0" borderId="0" applyFont="0" applyFill="0" applyBorder="0" applyAlignment="0" applyProtection="0"/>
    <xf numFmtId="0" fontId="41" fillId="29" borderId="0" applyNumberFormat="0" applyBorder="0" applyAlignment="0" applyProtection="0"/>
    <xf numFmtId="164" fontId="0" fillId="0" borderId="0" applyFont="0" applyBorder="0" applyAlignment="0" applyProtection="0"/>
    <xf numFmtId="0" fontId="32" fillId="30" borderId="4" applyNumberFormat="0" applyFont="0" applyAlignment="0" applyProtection="0"/>
    <xf numFmtId="0" fontId="33" fillId="30" borderId="4" applyNumberFormat="0" applyFont="0" applyAlignment="0" applyProtection="0"/>
    <xf numFmtId="9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3" fontId="50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3" fontId="3" fillId="0" borderId="17" xfId="0" applyNumberFormat="1" applyFont="1" applyFill="1" applyBorder="1" applyAlignment="1">
      <alignment horizontal="righ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9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4" fillId="0" borderId="21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14" xfId="0" applyFont="1" applyFill="1" applyBorder="1" applyAlignment="1">
      <alignment horizontal="left"/>
    </xf>
    <xf numFmtId="3" fontId="5" fillId="0" borderId="19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3" fontId="3" fillId="0" borderId="27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49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 indent="1"/>
    </xf>
    <xf numFmtId="1" fontId="5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7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/>
    </xf>
    <xf numFmtId="3" fontId="3" fillId="0" borderId="32" xfId="0" applyNumberFormat="1" applyFont="1" applyFill="1" applyBorder="1" applyAlignment="1">
      <alignment horizontal="right"/>
    </xf>
    <xf numFmtId="3" fontId="3" fillId="0" borderId="33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 horizontal="right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right"/>
    </xf>
    <xf numFmtId="0" fontId="5" fillId="0" borderId="45" xfId="0" applyFont="1" applyFill="1" applyBorder="1" applyAlignment="1">
      <alignment horizontal="right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3" fontId="5" fillId="0" borderId="49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horizontal="right"/>
    </xf>
    <xf numFmtId="3" fontId="4" fillId="0" borderId="51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 horizontal="right"/>
    </xf>
    <xf numFmtId="3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0" fontId="5" fillId="0" borderId="55" xfId="0" applyFont="1" applyFill="1" applyBorder="1" applyAlignment="1">
      <alignment horizontal="left"/>
    </xf>
    <xf numFmtId="3" fontId="5" fillId="0" borderId="56" xfId="0" applyNumberFormat="1" applyFont="1" applyFill="1" applyBorder="1" applyAlignment="1">
      <alignment horizontal="right"/>
    </xf>
    <xf numFmtId="3" fontId="5" fillId="0" borderId="57" xfId="0" applyNumberFormat="1" applyFont="1" applyFill="1" applyBorder="1" applyAlignment="1">
      <alignment horizontal="right"/>
    </xf>
    <xf numFmtId="3" fontId="4" fillId="0" borderId="58" xfId="0" applyNumberFormat="1" applyFont="1" applyFill="1" applyBorder="1" applyAlignment="1">
      <alignment/>
    </xf>
    <xf numFmtId="3" fontId="5" fillId="0" borderId="59" xfId="0" applyNumberFormat="1" applyFont="1" applyFill="1" applyBorder="1" applyAlignment="1">
      <alignment horizontal="right"/>
    </xf>
    <xf numFmtId="3" fontId="5" fillId="0" borderId="60" xfId="0" applyNumberFormat="1" applyFont="1" applyFill="1" applyBorder="1" applyAlignment="1">
      <alignment/>
    </xf>
    <xf numFmtId="3" fontId="5" fillId="0" borderId="61" xfId="0" applyNumberFormat="1" applyFont="1" applyFill="1" applyBorder="1" applyAlignment="1">
      <alignment horizontal="right"/>
    </xf>
    <xf numFmtId="3" fontId="5" fillId="0" borderId="47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/>
    </xf>
    <xf numFmtId="3" fontId="5" fillId="35" borderId="0" xfId="0" applyNumberFormat="1" applyFont="1" applyFill="1" applyBorder="1" applyAlignment="1">
      <alignment horizontal="right"/>
    </xf>
    <xf numFmtId="3" fontId="5" fillId="35" borderId="46" xfId="0" applyNumberFormat="1" applyFont="1" applyFill="1" applyBorder="1" applyAlignment="1">
      <alignment horizontal="right"/>
    </xf>
    <xf numFmtId="0" fontId="4" fillId="0" borderId="46" xfId="0" applyFont="1" applyFill="1" applyBorder="1" applyAlignment="1">
      <alignment horizontal="right"/>
    </xf>
    <xf numFmtId="3" fontId="5" fillId="0" borderId="58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46" xfId="0" applyNumberFormat="1" applyFont="1" applyFill="1" applyBorder="1" applyAlignment="1">
      <alignment/>
    </xf>
    <xf numFmtId="4" fontId="4" fillId="0" borderId="46" xfId="0" applyNumberFormat="1" applyFont="1" applyFill="1" applyBorder="1" applyAlignment="1">
      <alignment/>
    </xf>
    <xf numFmtId="4" fontId="8" fillId="0" borderId="0" xfId="0" applyNumberFormat="1" applyFont="1" applyFill="1" applyAlignment="1">
      <alignment/>
    </xf>
    <xf numFmtId="3" fontId="5" fillId="35" borderId="43" xfId="0" applyNumberFormat="1" applyFont="1" applyFill="1" applyBorder="1" applyAlignment="1">
      <alignment horizontal="right"/>
    </xf>
    <xf numFmtId="0" fontId="3" fillId="0" borderId="62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</cellXfs>
  <cellStyles count="61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klärender Text" xfId="56"/>
    <cellStyle name="Gut" xfId="57"/>
    <cellStyle name="Comma" xfId="58"/>
    <cellStyle name="Neutral" xfId="59"/>
    <cellStyle name="Normal_Sheet1" xfId="60"/>
    <cellStyle name="Notiz" xfId="61"/>
    <cellStyle name="Notiz 2" xfId="62"/>
    <cellStyle name="Percent" xfId="63"/>
    <cellStyle name="Schlecht" xfId="64"/>
    <cellStyle name="Überschrift" xfId="65"/>
    <cellStyle name="Überschrift 1" xfId="66"/>
    <cellStyle name="Überschrift 2" xfId="67"/>
    <cellStyle name="Überschrift 3" xfId="68"/>
    <cellStyle name="Überschrift 4" xfId="69"/>
    <cellStyle name="Verknüpfte Zelle" xfId="70"/>
    <cellStyle name="Currency" xfId="71"/>
    <cellStyle name="Currency [0]" xfId="72"/>
    <cellStyle name="Warnender Text" xfId="73"/>
    <cellStyle name="Zelle überprüfe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54</xdr:row>
      <xdr:rowOff>0</xdr:rowOff>
    </xdr:from>
    <xdr:to>
      <xdr:col>14</xdr:col>
      <xdr:colOff>190500</xdr:colOff>
      <xdr:row>55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7924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8"/>
  <sheetViews>
    <sheetView tabSelected="1" zoomScale="115" zoomScaleNormal="115" zoomScalePageLayoutView="0" workbookViewId="0" topLeftCell="A1">
      <pane ySplit="2" topLeftCell="A151" activePane="bottomLeft" state="frozen"/>
      <selection pane="topLeft" activeCell="A1" sqref="A1"/>
      <selection pane="bottomLeft" activeCell="Q169" sqref="Q169"/>
    </sheetView>
  </sheetViews>
  <sheetFormatPr defaultColWidth="11.421875" defaultRowHeight="12.75"/>
  <cols>
    <col min="1" max="1" width="4.8515625" style="3" customWidth="1"/>
    <col min="2" max="2" width="2.8515625" style="2" customWidth="1"/>
    <col min="3" max="3" width="6.00390625" style="3" customWidth="1"/>
    <col min="4" max="4" width="64.00390625" style="3" customWidth="1"/>
    <col min="5" max="6" width="12.8515625" style="3" hidden="1" customWidth="1"/>
    <col min="7" max="7" width="11.140625" style="3" hidden="1" customWidth="1"/>
    <col min="8" max="8" width="12.421875" style="3" customWidth="1"/>
    <col min="9" max="9" width="11.28125" style="3" customWidth="1"/>
    <col min="10" max="10" width="10.7109375" style="107" customWidth="1"/>
    <col min="11" max="11" width="10.57421875" style="3" customWidth="1"/>
    <col min="12" max="12" width="11.7109375" style="3" customWidth="1"/>
    <col min="13" max="13" width="9.7109375" style="3" customWidth="1"/>
    <col min="14" max="14" width="20.7109375" style="3" hidden="1" customWidth="1"/>
    <col min="15" max="15" width="10.421875" style="3" bestFit="1" customWidth="1"/>
    <col min="16" max="16" width="10.140625" style="3" bestFit="1" customWidth="1"/>
    <col min="17" max="17" width="13.140625" style="3" customWidth="1"/>
    <col min="18" max="18" width="9.28125" style="3" bestFit="1" customWidth="1"/>
    <col min="19" max="19" width="9.421875" style="3" customWidth="1"/>
    <col min="20" max="22" width="11.421875" style="3" customWidth="1"/>
    <col min="23" max="23" width="8.421875" style="3" customWidth="1"/>
    <col min="24" max="16384" width="11.421875" style="3" customWidth="1"/>
  </cols>
  <sheetData>
    <row r="1" spans="1:14" ht="16.5" thickBot="1">
      <c r="A1" s="1" t="s">
        <v>0</v>
      </c>
      <c r="E1" s="4" t="e">
        <f aca="true" t="shared" si="0" ref="E1:M1">E193-E194</f>
        <v>#REF!</v>
      </c>
      <c r="F1" s="4" t="e">
        <f t="shared" si="0"/>
        <v>#REF!</v>
      </c>
      <c r="G1" s="4">
        <f t="shared" si="0"/>
        <v>22100</v>
      </c>
      <c r="H1" s="4">
        <f t="shared" si="0"/>
        <v>0</v>
      </c>
      <c r="I1" s="4">
        <f t="shared" si="0"/>
        <v>0</v>
      </c>
      <c r="J1" s="4">
        <f t="shared" si="0"/>
        <v>0</v>
      </c>
      <c r="K1" s="4">
        <f>K193-K194</f>
        <v>-296200</v>
      </c>
      <c r="L1" s="4">
        <f t="shared" si="0"/>
        <v>0</v>
      </c>
      <c r="M1" s="4">
        <f t="shared" si="0"/>
        <v>0</v>
      </c>
      <c r="N1" s="5" t="s">
        <v>1</v>
      </c>
    </row>
    <row r="2" spans="1:14" s="11" customFormat="1" ht="24.75" customHeight="1" thickBot="1">
      <c r="A2" s="149" t="s">
        <v>2</v>
      </c>
      <c r="B2" s="150"/>
      <c r="C2" s="151"/>
      <c r="D2" s="7" t="s">
        <v>3</v>
      </c>
      <c r="E2" s="8" t="s">
        <v>4</v>
      </c>
      <c r="F2" s="9" t="s">
        <v>5</v>
      </c>
      <c r="G2" s="95" t="s">
        <v>6</v>
      </c>
      <c r="H2" s="99" t="s">
        <v>211</v>
      </c>
      <c r="I2" s="100" t="s">
        <v>210</v>
      </c>
      <c r="J2" s="101" t="s">
        <v>7</v>
      </c>
      <c r="K2" s="96" t="s">
        <v>8</v>
      </c>
      <c r="L2" s="97" t="s">
        <v>9</v>
      </c>
      <c r="M2" s="98" t="s">
        <v>10</v>
      </c>
      <c r="N2" s="10" t="s">
        <v>186</v>
      </c>
    </row>
    <row r="3" spans="1:14" s="11" customFormat="1" ht="3" customHeight="1">
      <c r="A3" s="12"/>
      <c r="B3" s="13"/>
      <c r="C3" s="14"/>
      <c r="D3" s="15"/>
      <c r="E3" s="16"/>
      <c r="F3" s="17"/>
      <c r="G3" s="84"/>
      <c r="H3" s="88"/>
      <c r="I3" s="26"/>
      <c r="J3" s="102"/>
      <c r="K3" s="20"/>
      <c r="L3" s="18"/>
      <c r="M3" s="19"/>
      <c r="N3" s="20"/>
    </row>
    <row r="4" spans="1:14" s="11" customFormat="1" ht="13.5" customHeight="1">
      <c r="A4" s="21" t="s">
        <v>11</v>
      </c>
      <c r="B4" s="22"/>
      <c r="C4" s="23"/>
      <c r="D4" s="24" t="s">
        <v>12</v>
      </c>
      <c r="E4" s="16"/>
      <c r="F4" s="17"/>
      <c r="G4" s="84"/>
      <c r="H4" s="88"/>
      <c r="I4" s="26"/>
      <c r="J4" s="102"/>
      <c r="K4" s="20"/>
      <c r="L4" s="18"/>
      <c r="M4" s="19"/>
      <c r="N4" s="20"/>
    </row>
    <row r="5" spans="1:14" s="11" customFormat="1" ht="11.25">
      <c r="A5" s="12" t="s">
        <v>13</v>
      </c>
      <c r="B5" s="13"/>
      <c r="C5" s="14" t="s">
        <v>14</v>
      </c>
      <c r="D5" s="15" t="s">
        <v>15</v>
      </c>
      <c r="E5" s="25">
        <v>2000</v>
      </c>
      <c r="F5" s="26"/>
      <c r="G5" s="38">
        <f>SUM(E5:F5)</f>
        <v>2000</v>
      </c>
      <c r="H5" s="88">
        <v>4800</v>
      </c>
      <c r="I5" s="26">
        <v>0</v>
      </c>
      <c r="J5" s="102">
        <f>SUM(H5:I5)</f>
        <v>4800</v>
      </c>
      <c r="K5" s="20">
        <v>2000</v>
      </c>
      <c r="L5" s="18">
        <v>2000</v>
      </c>
      <c r="M5" s="19">
        <v>2000</v>
      </c>
      <c r="N5" s="20"/>
    </row>
    <row r="6" spans="1:14" s="11" customFormat="1" ht="11.25">
      <c r="A6" s="12" t="s">
        <v>13</v>
      </c>
      <c r="B6" s="13"/>
      <c r="C6" s="14" t="s">
        <v>16</v>
      </c>
      <c r="D6" s="15" t="s">
        <v>17</v>
      </c>
      <c r="E6" s="25">
        <v>5000</v>
      </c>
      <c r="F6" s="26">
        <v>6000</v>
      </c>
      <c r="G6" s="38">
        <f>SUM(E6:F6)</f>
        <v>11000</v>
      </c>
      <c r="H6" s="88">
        <v>13000</v>
      </c>
      <c r="I6" s="26"/>
      <c r="J6" s="102">
        <f>SUM(H6:I6)</f>
        <v>13000</v>
      </c>
      <c r="K6" s="20">
        <v>11000</v>
      </c>
      <c r="L6" s="18">
        <v>11000</v>
      </c>
      <c r="M6" s="19"/>
      <c r="N6" s="20"/>
    </row>
    <row r="7" spans="1:14" s="11" customFormat="1" ht="11.25" hidden="1">
      <c r="A7" s="12" t="s">
        <v>13</v>
      </c>
      <c r="B7" s="13"/>
      <c r="C7" s="14" t="s">
        <v>18</v>
      </c>
      <c r="D7" s="15" t="s">
        <v>19</v>
      </c>
      <c r="E7" s="25"/>
      <c r="F7" s="26"/>
      <c r="G7" s="38">
        <v>0</v>
      </c>
      <c r="H7" s="88"/>
      <c r="I7" s="26"/>
      <c r="J7" s="102">
        <f>SUM(H7:I7)</f>
        <v>0</v>
      </c>
      <c r="K7" s="20">
        <v>0</v>
      </c>
      <c r="L7" s="18">
        <v>0</v>
      </c>
      <c r="M7" s="19">
        <v>0</v>
      </c>
      <c r="N7" s="20"/>
    </row>
    <row r="8" spans="1:14" s="11" customFormat="1" ht="11.25">
      <c r="A8" s="12" t="s">
        <v>13</v>
      </c>
      <c r="B8" s="13" t="s">
        <v>39</v>
      </c>
      <c r="C8" s="14">
        <v>9400</v>
      </c>
      <c r="D8" s="15" t="s">
        <v>195</v>
      </c>
      <c r="E8" s="25"/>
      <c r="F8" s="26"/>
      <c r="G8" s="38">
        <v>0</v>
      </c>
      <c r="H8" s="88">
        <v>0</v>
      </c>
      <c r="I8" s="26"/>
      <c r="J8" s="102">
        <f>SUM(H8:I8)</f>
        <v>0</v>
      </c>
      <c r="K8" s="20">
        <v>10000</v>
      </c>
      <c r="L8" s="18">
        <v>0</v>
      </c>
      <c r="M8" s="19">
        <v>0</v>
      </c>
      <c r="N8" s="20"/>
    </row>
    <row r="9" spans="1:14" s="11" customFormat="1" ht="12.75" customHeight="1">
      <c r="A9" s="12"/>
      <c r="B9" s="13"/>
      <c r="C9" s="14"/>
      <c r="D9" s="27" t="s">
        <v>20</v>
      </c>
      <c r="E9" s="28">
        <f aca="true" t="shared" si="1" ref="E9:L9">SUM(0)</f>
        <v>0</v>
      </c>
      <c r="F9" s="29">
        <f t="shared" si="1"/>
        <v>0</v>
      </c>
      <c r="G9" s="85">
        <f t="shared" si="1"/>
        <v>0</v>
      </c>
      <c r="H9" s="89">
        <f t="shared" si="1"/>
        <v>0</v>
      </c>
      <c r="I9" s="29">
        <f t="shared" si="1"/>
        <v>0</v>
      </c>
      <c r="J9" s="90">
        <f t="shared" si="1"/>
        <v>0</v>
      </c>
      <c r="K9" s="32">
        <f t="shared" si="1"/>
        <v>0</v>
      </c>
      <c r="L9" s="30">
        <f t="shared" si="1"/>
        <v>0</v>
      </c>
      <c r="M9" s="31"/>
      <c r="N9" s="32"/>
    </row>
    <row r="10" spans="1:14" s="11" customFormat="1" ht="12.75" customHeight="1">
      <c r="A10" s="12"/>
      <c r="B10" s="13"/>
      <c r="C10" s="14"/>
      <c r="D10" s="27" t="s">
        <v>21</v>
      </c>
      <c r="E10" s="28">
        <f>SUM(E5:E6)</f>
        <v>7000</v>
      </c>
      <c r="F10" s="29">
        <f>SUM(F5:F6)</f>
        <v>6000</v>
      </c>
      <c r="G10" s="85">
        <f aca="true" t="shared" si="2" ref="G10:L10">SUM(G5:G8)</f>
        <v>13000</v>
      </c>
      <c r="H10" s="89">
        <f t="shared" si="2"/>
        <v>17800</v>
      </c>
      <c r="I10" s="29">
        <f t="shared" si="2"/>
        <v>0</v>
      </c>
      <c r="J10" s="90">
        <f t="shared" si="2"/>
        <v>17800</v>
      </c>
      <c r="K10" s="32">
        <f t="shared" si="2"/>
        <v>23000</v>
      </c>
      <c r="L10" s="30">
        <f t="shared" si="2"/>
        <v>13000</v>
      </c>
      <c r="M10" s="31">
        <f>SUM(M5:N8)</f>
        <v>2000</v>
      </c>
      <c r="N10" s="32"/>
    </row>
    <row r="11" spans="1:14" s="11" customFormat="1" ht="12.75" customHeight="1">
      <c r="A11" s="12"/>
      <c r="B11" s="13"/>
      <c r="C11" s="14"/>
      <c r="D11" s="27" t="s">
        <v>22</v>
      </c>
      <c r="E11" s="28">
        <f aca="true" t="shared" si="3" ref="E11:M11">E9-E10</f>
        <v>-7000</v>
      </c>
      <c r="F11" s="29">
        <f>F9-F10</f>
        <v>-6000</v>
      </c>
      <c r="G11" s="85">
        <f>G9-G10</f>
        <v>-13000</v>
      </c>
      <c r="H11" s="89">
        <f t="shared" si="3"/>
        <v>-17800</v>
      </c>
      <c r="I11" s="29">
        <f>I9-I10</f>
        <v>0</v>
      </c>
      <c r="J11" s="90">
        <f>J9-J10</f>
        <v>-17800</v>
      </c>
      <c r="K11" s="32">
        <f t="shared" si="3"/>
        <v>-23000</v>
      </c>
      <c r="L11" s="30">
        <f t="shared" si="3"/>
        <v>-13000</v>
      </c>
      <c r="M11" s="31">
        <f t="shared" si="3"/>
        <v>-2000</v>
      </c>
      <c r="N11" s="32"/>
    </row>
    <row r="12" spans="1:14" s="11" customFormat="1" ht="13.5" customHeight="1">
      <c r="A12" s="21" t="s">
        <v>23</v>
      </c>
      <c r="B12" s="22"/>
      <c r="C12" s="23"/>
      <c r="D12" s="24" t="s">
        <v>24</v>
      </c>
      <c r="E12" s="28"/>
      <c r="F12" s="29"/>
      <c r="G12" s="85"/>
      <c r="H12" s="89"/>
      <c r="I12" s="29"/>
      <c r="J12" s="90"/>
      <c r="K12" s="32"/>
      <c r="L12" s="30"/>
      <c r="M12" s="31"/>
      <c r="N12" s="32"/>
    </row>
    <row r="13" spans="1:14" s="11" customFormat="1" ht="11.25">
      <c r="A13" s="12" t="s">
        <v>25</v>
      </c>
      <c r="B13" s="13"/>
      <c r="C13" s="14" t="s">
        <v>14</v>
      </c>
      <c r="D13" s="15" t="s">
        <v>15</v>
      </c>
      <c r="E13" s="25">
        <v>15000</v>
      </c>
      <c r="F13" s="26">
        <v>6900</v>
      </c>
      <c r="G13" s="38">
        <f>SUM(E13:F13)</f>
        <v>21900</v>
      </c>
      <c r="H13" s="88">
        <v>49000</v>
      </c>
      <c r="I13" s="26"/>
      <c r="J13" s="102">
        <f>SUM(H13:I13)</f>
        <v>49000</v>
      </c>
      <c r="K13" s="33">
        <v>15000</v>
      </c>
      <c r="L13" s="34">
        <v>15000</v>
      </c>
      <c r="M13" s="35">
        <v>15000</v>
      </c>
      <c r="N13" s="37" t="s">
        <v>187</v>
      </c>
    </row>
    <row r="14" spans="1:14" s="11" customFormat="1" ht="11.25">
      <c r="A14" s="12">
        <v>130</v>
      </c>
      <c r="B14" s="13"/>
      <c r="C14" s="14">
        <v>9355</v>
      </c>
      <c r="D14" s="15" t="s">
        <v>26</v>
      </c>
      <c r="E14" s="25">
        <v>0</v>
      </c>
      <c r="F14" s="26"/>
      <c r="G14" s="38">
        <f>SUM(E14:F14)</f>
        <v>0</v>
      </c>
      <c r="H14" s="88">
        <v>0</v>
      </c>
      <c r="I14" s="26"/>
      <c r="J14" s="102">
        <f aca="true" t="shared" si="4" ref="J14:J23">SUM(H14:I14)</f>
        <v>0</v>
      </c>
      <c r="K14" s="33">
        <v>68000</v>
      </c>
      <c r="L14" s="34">
        <v>33000</v>
      </c>
      <c r="M14" s="35"/>
      <c r="N14" s="36"/>
    </row>
    <row r="15" spans="1:14" s="11" customFormat="1" ht="11.25">
      <c r="A15" s="12"/>
      <c r="B15" s="13"/>
      <c r="C15" s="14">
        <v>3621</v>
      </c>
      <c r="D15" s="15" t="s">
        <v>27</v>
      </c>
      <c r="E15" s="25">
        <v>0</v>
      </c>
      <c r="F15" s="26"/>
      <c r="G15" s="38">
        <v>0</v>
      </c>
      <c r="H15" s="88">
        <v>0</v>
      </c>
      <c r="I15" s="26"/>
      <c r="J15" s="102">
        <f t="shared" si="4"/>
        <v>0</v>
      </c>
      <c r="K15" s="33">
        <f>K14/2</f>
        <v>34000</v>
      </c>
      <c r="L15" s="34">
        <f>L14/2</f>
        <v>16500</v>
      </c>
      <c r="M15" s="35"/>
      <c r="N15" s="37"/>
    </row>
    <row r="16" spans="1:14" s="11" customFormat="1" ht="11.25">
      <c r="A16" s="12">
        <v>130</v>
      </c>
      <c r="B16" s="13">
        <v>3</v>
      </c>
      <c r="C16" s="14">
        <v>9400</v>
      </c>
      <c r="D16" s="15" t="s">
        <v>28</v>
      </c>
      <c r="E16" s="25"/>
      <c r="F16" s="26"/>
      <c r="G16" s="38"/>
      <c r="H16" s="88">
        <v>15000</v>
      </c>
      <c r="I16" s="26"/>
      <c r="J16" s="102">
        <f t="shared" si="4"/>
        <v>15000</v>
      </c>
      <c r="K16" s="33"/>
      <c r="L16" s="34"/>
      <c r="M16" s="35"/>
      <c r="N16" s="37" t="s">
        <v>29</v>
      </c>
    </row>
    <row r="17" spans="1:14" s="11" customFormat="1" ht="11.25">
      <c r="A17" s="12">
        <v>130</v>
      </c>
      <c r="B17" s="13">
        <v>6</v>
      </c>
      <c r="C17" s="14">
        <v>9350</v>
      </c>
      <c r="D17" s="15" t="s">
        <v>30</v>
      </c>
      <c r="E17" s="25">
        <v>0</v>
      </c>
      <c r="F17" s="26"/>
      <c r="G17" s="38">
        <f>SUM(E17:F17)</f>
        <v>0</v>
      </c>
      <c r="H17" s="88">
        <v>90000</v>
      </c>
      <c r="I17" s="26"/>
      <c r="J17" s="102">
        <f t="shared" si="4"/>
        <v>90000</v>
      </c>
      <c r="K17" s="20">
        <v>0</v>
      </c>
      <c r="L17" s="18">
        <v>0</v>
      </c>
      <c r="M17" s="19"/>
      <c r="N17" s="20"/>
    </row>
    <row r="18" spans="1:14" s="11" customFormat="1" ht="11.25">
      <c r="A18" s="12"/>
      <c r="B18" s="13">
        <v>6</v>
      </c>
      <c r="C18" s="14">
        <v>3450</v>
      </c>
      <c r="D18" s="15" t="s">
        <v>31</v>
      </c>
      <c r="E18" s="25"/>
      <c r="F18" s="26"/>
      <c r="G18" s="38"/>
      <c r="H18" s="88">
        <v>3000</v>
      </c>
      <c r="I18" s="26"/>
      <c r="J18" s="102">
        <f t="shared" si="4"/>
        <v>3000</v>
      </c>
      <c r="K18" s="20"/>
      <c r="L18" s="18"/>
      <c r="M18" s="19"/>
      <c r="N18" s="20"/>
    </row>
    <row r="19" spans="1:15" s="11" customFormat="1" ht="11.25">
      <c r="A19" s="12">
        <v>130</v>
      </c>
      <c r="B19" s="13">
        <v>7</v>
      </c>
      <c r="C19" s="14">
        <v>9350</v>
      </c>
      <c r="D19" s="15" t="s">
        <v>207</v>
      </c>
      <c r="E19" s="25">
        <v>0</v>
      </c>
      <c r="F19" s="26"/>
      <c r="G19" s="38">
        <f>SUM(E19:F19)</f>
        <v>0</v>
      </c>
      <c r="H19" s="88">
        <v>0</v>
      </c>
      <c r="I19" s="26"/>
      <c r="J19" s="102">
        <f t="shared" si="4"/>
        <v>0</v>
      </c>
      <c r="K19" s="20">
        <v>641900</v>
      </c>
      <c r="L19" s="18">
        <v>0</v>
      </c>
      <c r="M19" s="19"/>
      <c r="N19" s="20"/>
      <c r="O19" s="11" t="s">
        <v>199</v>
      </c>
    </row>
    <row r="20" spans="1:14" s="11" customFormat="1" ht="11.25">
      <c r="A20" s="12"/>
      <c r="B20" s="13">
        <v>7</v>
      </c>
      <c r="C20" s="14">
        <v>3620</v>
      </c>
      <c r="D20" s="15" t="s">
        <v>190</v>
      </c>
      <c r="E20" s="25">
        <v>0</v>
      </c>
      <c r="F20" s="26"/>
      <c r="G20" s="38">
        <f>SUM(E20:F20)</f>
        <v>0</v>
      </c>
      <c r="H20" s="88">
        <v>0</v>
      </c>
      <c r="I20" s="26"/>
      <c r="J20" s="102">
        <f t="shared" si="4"/>
        <v>0</v>
      </c>
      <c r="K20" s="20">
        <v>100000</v>
      </c>
      <c r="L20" s="18">
        <v>0</v>
      </c>
      <c r="M20" s="19"/>
      <c r="N20" s="20"/>
    </row>
    <row r="21" spans="1:14" s="11" customFormat="1" ht="11.25">
      <c r="A21" s="12"/>
      <c r="B21" s="13">
        <v>7</v>
      </c>
      <c r="C21" s="14" t="s">
        <v>32</v>
      </c>
      <c r="D21" s="15" t="s">
        <v>33</v>
      </c>
      <c r="E21" s="39"/>
      <c r="F21" s="26"/>
      <c r="G21" s="20">
        <v>0</v>
      </c>
      <c r="H21" s="88">
        <v>0</v>
      </c>
      <c r="I21" s="26"/>
      <c r="J21" s="102">
        <f t="shared" si="4"/>
        <v>0</v>
      </c>
      <c r="K21" s="20">
        <v>350000</v>
      </c>
      <c r="L21" s="18">
        <v>0</v>
      </c>
      <c r="M21" s="19"/>
      <c r="N21" s="20"/>
    </row>
    <row r="22" spans="1:14" s="11" customFormat="1" ht="11.25">
      <c r="A22" s="12">
        <v>130</v>
      </c>
      <c r="B22" s="13">
        <v>9</v>
      </c>
      <c r="C22" s="14">
        <v>9350</v>
      </c>
      <c r="D22" s="15" t="s">
        <v>34</v>
      </c>
      <c r="E22" s="39">
        <v>0</v>
      </c>
      <c r="F22" s="26"/>
      <c r="G22" s="20">
        <f>SUM(E22:F22)</f>
        <v>0</v>
      </c>
      <c r="H22" s="88">
        <v>32000</v>
      </c>
      <c r="I22" s="26"/>
      <c r="J22" s="102">
        <f t="shared" si="4"/>
        <v>32000</v>
      </c>
      <c r="K22" s="20"/>
      <c r="L22" s="18"/>
      <c r="M22" s="19"/>
      <c r="N22" s="20"/>
    </row>
    <row r="23" spans="1:14" s="11" customFormat="1" ht="11.25">
      <c r="A23" s="12">
        <v>130</v>
      </c>
      <c r="B23" s="13">
        <v>10</v>
      </c>
      <c r="C23" s="14">
        <v>9400</v>
      </c>
      <c r="D23" s="15" t="s">
        <v>35</v>
      </c>
      <c r="E23" s="39"/>
      <c r="F23" s="26"/>
      <c r="G23" s="20"/>
      <c r="H23" s="88"/>
      <c r="I23" s="26"/>
      <c r="J23" s="102">
        <f t="shared" si="4"/>
        <v>0</v>
      </c>
      <c r="K23" s="20">
        <v>180000</v>
      </c>
      <c r="L23" s="18">
        <v>120000</v>
      </c>
      <c r="M23" s="19"/>
      <c r="N23" s="20" t="s">
        <v>36</v>
      </c>
    </row>
    <row r="24" spans="1:14" s="11" customFormat="1" ht="11.25">
      <c r="A24" s="12"/>
      <c r="B24" s="13"/>
      <c r="C24" s="14"/>
      <c r="D24" s="27" t="s">
        <v>20</v>
      </c>
      <c r="E24" s="40">
        <f>E15+E20</f>
        <v>0</v>
      </c>
      <c r="F24" s="29">
        <f>F15+F20</f>
        <v>0</v>
      </c>
      <c r="G24" s="32">
        <f>G15+G20+G21</f>
        <v>0</v>
      </c>
      <c r="H24" s="89">
        <f>H15+H18+H20+H21</f>
        <v>3000</v>
      </c>
      <c r="I24" s="29">
        <f>I15+I18+I20+I21</f>
        <v>0</v>
      </c>
      <c r="J24" s="90">
        <f>J15+J18+J20+J21</f>
        <v>3000</v>
      </c>
      <c r="K24" s="32">
        <f>K15+K20+K21</f>
        <v>484000</v>
      </c>
      <c r="L24" s="30">
        <f>L15+L20+L21</f>
        <v>16500</v>
      </c>
      <c r="M24" s="31">
        <f>M15+M20+M21</f>
        <v>0</v>
      </c>
      <c r="N24" s="32"/>
    </row>
    <row r="25" spans="1:14" s="11" customFormat="1" ht="11.25">
      <c r="A25" s="12"/>
      <c r="B25" s="13"/>
      <c r="C25" s="14"/>
      <c r="D25" s="27" t="s">
        <v>21</v>
      </c>
      <c r="E25" s="40">
        <f>SUM(E13:E14)+SUM(E17:E19)+E22</f>
        <v>15000</v>
      </c>
      <c r="F25" s="29">
        <f>SUM(F13:F14)+SUM(F17:F19)+F22</f>
        <v>6900</v>
      </c>
      <c r="G25" s="32">
        <f>SUM(G13:G14)+SUM(G17:G19)+G22+G16</f>
        <v>21900</v>
      </c>
      <c r="H25" s="89">
        <f>SUM(H13:H14)+SUM(H17)+H22+H16+H23</f>
        <v>186000</v>
      </c>
      <c r="I25" s="29">
        <f>SUM(I13:I14)+SUM(I17)+I22+I16+I23</f>
        <v>0</v>
      </c>
      <c r="J25" s="90">
        <f>SUM(J13:J14)+SUM(J17)+J22+J16+J23</f>
        <v>186000</v>
      </c>
      <c r="K25" s="32">
        <f>SUM(K13:K14)+SUM(K17:K19)+K22+K16+K23</f>
        <v>904900</v>
      </c>
      <c r="L25" s="30">
        <f>SUM(L13:L14)+SUM(L17:L19)+L22+L16+L23</f>
        <v>168000</v>
      </c>
      <c r="M25" s="31">
        <f>SUM(M13:M14)+SUM(M17:M19)+M22+M16+M23</f>
        <v>15000</v>
      </c>
      <c r="N25" s="32"/>
    </row>
    <row r="26" spans="1:14" s="11" customFormat="1" ht="11.25">
      <c r="A26" s="12"/>
      <c r="B26" s="13"/>
      <c r="C26" s="14"/>
      <c r="D26" s="27" t="s">
        <v>22</v>
      </c>
      <c r="E26" s="40">
        <f aca="true" t="shared" si="5" ref="E26:M26">E24-E25</f>
        <v>-15000</v>
      </c>
      <c r="F26" s="29">
        <f>F24-F25</f>
        <v>-6900</v>
      </c>
      <c r="G26" s="32">
        <f>G24-G25</f>
        <v>-21900</v>
      </c>
      <c r="H26" s="89">
        <f t="shared" si="5"/>
        <v>-183000</v>
      </c>
      <c r="I26" s="29">
        <f>I24-I25</f>
        <v>0</v>
      </c>
      <c r="J26" s="90">
        <f>J24-J25</f>
        <v>-183000</v>
      </c>
      <c r="K26" s="32">
        <f t="shared" si="5"/>
        <v>-420900</v>
      </c>
      <c r="L26" s="30">
        <f t="shared" si="5"/>
        <v>-151500</v>
      </c>
      <c r="M26" s="31">
        <f t="shared" si="5"/>
        <v>-15000</v>
      </c>
      <c r="N26" s="32"/>
    </row>
    <row r="27" spans="1:14" s="11" customFormat="1" ht="13.5" customHeight="1">
      <c r="A27" s="21" t="s">
        <v>37</v>
      </c>
      <c r="B27" s="22"/>
      <c r="C27" s="23"/>
      <c r="D27" s="24" t="s">
        <v>38</v>
      </c>
      <c r="E27" s="40"/>
      <c r="F27" s="29"/>
      <c r="G27" s="32"/>
      <c r="H27" s="89"/>
      <c r="I27" s="29"/>
      <c r="J27" s="90"/>
      <c r="K27" s="32"/>
      <c r="L27" s="30"/>
      <c r="M27" s="31"/>
      <c r="N27" s="32"/>
    </row>
    <row r="28" spans="1:14" s="11" customFormat="1" ht="11.25">
      <c r="A28" s="12">
        <v>160</v>
      </c>
      <c r="B28" s="13" t="s">
        <v>39</v>
      </c>
      <c r="C28" s="14">
        <v>9881</v>
      </c>
      <c r="D28" s="15" t="s">
        <v>40</v>
      </c>
      <c r="E28" s="16">
        <v>0</v>
      </c>
      <c r="F28" s="17">
        <v>0</v>
      </c>
      <c r="G28" s="38">
        <f>SUM(E28:F28)</f>
        <v>0</v>
      </c>
      <c r="H28" s="91">
        <v>0</v>
      </c>
      <c r="I28" s="17"/>
      <c r="J28" s="102">
        <f>SUM(H28:I28)</f>
        <v>0</v>
      </c>
      <c r="K28" s="41">
        <v>5500</v>
      </c>
      <c r="L28" s="42">
        <v>2000</v>
      </c>
      <c r="M28" s="43"/>
      <c r="N28" s="32"/>
    </row>
    <row r="29" spans="1:14" s="11" customFormat="1" ht="11.25">
      <c r="A29" s="12"/>
      <c r="B29" s="13"/>
      <c r="C29" s="14"/>
      <c r="D29" s="27" t="s">
        <v>20</v>
      </c>
      <c r="E29" s="28">
        <f>0</f>
        <v>0</v>
      </c>
      <c r="F29" s="29">
        <v>0</v>
      </c>
      <c r="G29" s="85">
        <v>0</v>
      </c>
      <c r="H29" s="89">
        <f>H28</f>
        <v>0</v>
      </c>
      <c r="I29" s="29">
        <f>I28</f>
        <v>0</v>
      </c>
      <c r="J29" s="90">
        <f>J28</f>
        <v>0</v>
      </c>
      <c r="K29" s="32">
        <f>0</f>
        <v>0</v>
      </c>
      <c r="L29" s="30">
        <f>0</f>
        <v>0</v>
      </c>
      <c r="M29" s="31">
        <f>0</f>
        <v>0</v>
      </c>
      <c r="N29" s="32"/>
    </row>
    <row r="30" spans="1:14" s="11" customFormat="1" ht="11.25">
      <c r="A30" s="12"/>
      <c r="B30" s="13"/>
      <c r="C30" s="14"/>
      <c r="D30" s="27" t="s">
        <v>21</v>
      </c>
      <c r="E30" s="28">
        <f aca="true" t="shared" si="6" ref="E30:M30">SUM(E28)</f>
        <v>0</v>
      </c>
      <c r="F30" s="29">
        <f t="shared" si="6"/>
        <v>0</v>
      </c>
      <c r="G30" s="85">
        <f t="shared" si="6"/>
        <v>0</v>
      </c>
      <c r="H30" s="89">
        <f t="shared" si="6"/>
        <v>0</v>
      </c>
      <c r="I30" s="29">
        <f>SUM(I28)</f>
        <v>0</v>
      </c>
      <c r="J30" s="90">
        <f>SUM(J28)</f>
        <v>0</v>
      </c>
      <c r="K30" s="32">
        <f t="shared" si="6"/>
        <v>5500</v>
      </c>
      <c r="L30" s="30">
        <f t="shared" si="6"/>
        <v>2000</v>
      </c>
      <c r="M30" s="31">
        <f t="shared" si="6"/>
        <v>0</v>
      </c>
      <c r="N30" s="32"/>
    </row>
    <row r="31" spans="1:14" s="11" customFormat="1" ht="11.25">
      <c r="A31" s="12"/>
      <c r="B31" s="13"/>
      <c r="C31" s="14"/>
      <c r="D31" s="27" t="s">
        <v>22</v>
      </c>
      <c r="E31" s="28">
        <f aca="true" t="shared" si="7" ref="E31:M31">E29-E30</f>
        <v>0</v>
      </c>
      <c r="F31" s="29">
        <f t="shared" si="7"/>
        <v>0</v>
      </c>
      <c r="G31" s="85">
        <f t="shared" si="7"/>
        <v>0</v>
      </c>
      <c r="H31" s="89">
        <f t="shared" si="7"/>
        <v>0</v>
      </c>
      <c r="I31" s="29">
        <f>I29-I30</f>
        <v>0</v>
      </c>
      <c r="J31" s="90">
        <f>J29-J30</f>
        <v>0</v>
      </c>
      <c r="K31" s="32">
        <f t="shared" si="7"/>
        <v>-5500</v>
      </c>
      <c r="L31" s="30">
        <f t="shared" si="7"/>
        <v>-2000</v>
      </c>
      <c r="M31" s="31">
        <f t="shared" si="7"/>
        <v>0</v>
      </c>
      <c r="N31" s="32"/>
    </row>
    <row r="32" spans="1:14" s="11" customFormat="1" ht="13.5" customHeight="1">
      <c r="A32" s="21" t="s">
        <v>41</v>
      </c>
      <c r="B32" s="22"/>
      <c r="C32" s="23"/>
      <c r="D32" s="24" t="s">
        <v>42</v>
      </c>
      <c r="E32" s="28"/>
      <c r="F32" s="29"/>
      <c r="G32" s="85"/>
      <c r="H32" s="89"/>
      <c r="I32" s="29"/>
      <c r="J32" s="90"/>
      <c r="K32" s="32"/>
      <c r="L32" s="30"/>
      <c r="M32" s="31"/>
      <c r="N32" s="32"/>
    </row>
    <row r="33" spans="1:14" s="11" customFormat="1" ht="11.25">
      <c r="A33" s="12" t="s">
        <v>43</v>
      </c>
      <c r="B33" s="13"/>
      <c r="C33" s="14" t="s">
        <v>44</v>
      </c>
      <c r="D33" s="15" t="s">
        <v>45</v>
      </c>
      <c r="E33" s="25">
        <v>0</v>
      </c>
      <c r="F33" s="26">
        <v>5000</v>
      </c>
      <c r="G33" s="38">
        <f>SUM(E33:F33)</f>
        <v>5000</v>
      </c>
      <c r="H33" s="88">
        <v>5000</v>
      </c>
      <c r="I33" s="26"/>
      <c r="J33" s="102">
        <f>SUM(H33:I33)</f>
        <v>5000</v>
      </c>
      <c r="K33" s="20">
        <v>0</v>
      </c>
      <c r="L33" s="18">
        <v>0</v>
      </c>
      <c r="M33" s="19"/>
      <c r="N33" s="20"/>
    </row>
    <row r="34" spans="1:16" s="11" customFormat="1" ht="11.25">
      <c r="A34" s="12" t="s">
        <v>43</v>
      </c>
      <c r="B34" s="13"/>
      <c r="C34" s="14" t="s">
        <v>14</v>
      </c>
      <c r="D34" s="15" t="s">
        <v>15</v>
      </c>
      <c r="E34" s="25">
        <v>15000</v>
      </c>
      <c r="F34" s="26">
        <v>8000</v>
      </c>
      <c r="G34" s="38">
        <f>SUM(E34:F34)</f>
        <v>23000</v>
      </c>
      <c r="H34" s="88">
        <v>25000</v>
      </c>
      <c r="I34" s="26"/>
      <c r="J34" s="102">
        <f>SUM(H34:I34)</f>
        <v>25000</v>
      </c>
      <c r="K34" s="20">
        <v>20000</v>
      </c>
      <c r="L34" s="18">
        <v>20000</v>
      </c>
      <c r="M34" s="19">
        <v>20000</v>
      </c>
      <c r="N34" s="20" t="s">
        <v>46</v>
      </c>
      <c r="P34" s="81"/>
    </row>
    <row r="35" spans="1:16" s="11" customFormat="1" ht="11.25">
      <c r="A35" s="12" t="s">
        <v>43</v>
      </c>
      <c r="B35" s="13"/>
      <c r="C35" s="14" t="s">
        <v>47</v>
      </c>
      <c r="D35" s="15" t="s">
        <v>48</v>
      </c>
      <c r="E35" s="25">
        <v>0</v>
      </c>
      <c r="F35" s="26">
        <v>5300</v>
      </c>
      <c r="G35" s="38">
        <f>SUM(E35:F35)</f>
        <v>5300</v>
      </c>
      <c r="H35" s="88">
        <v>5000</v>
      </c>
      <c r="I35" s="26"/>
      <c r="J35" s="102">
        <f>SUM(H35:I35)</f>
        <v>5000</v>
      </c>
      <c r="K35" s="20">
        <v>0</v>
      </c>
      <c r="L35" s="18">
        <v>0</v>
      </c>
      <c r="M35" s="19"/>
      <c r="N35" s="20"/>
      <c r="P35" s="81"/>
    </row>
    <row r="36" spans="1:16" s="11" customFormat="1" ht="11.25">
      <c r="A36" s="12">
        <v>230</v>
      </c>
      <c r="B36" s="13">
        <v>9</v>
      </c>
      <c r="C36" s="14">
        <v>9500</v>
      </c>
      <c r="D36" s="15" t="s">
        <v>49</v>
      </c>
      <c r="E36" s="25">
        <v>12000</v>
      </c>
      <c r="F36" s="26"/>
      <c r="G36" s="38">
        <f>SUM(E36:F36)</f>
        <v>12000</v>
      </c>
      <c r="H36" s="88">
        <v>0</v>
      </c>
      <c r="I36" s="26"/>
      <c r="J36" s="102">
        <f>SUM(H36:I36)</f>
        <v>0</v>
      </c>
      <c r="K36" s="20">
        <v>0</v>
      </c>
      <c r="L36" s="18">
        <v>0</v>
      </c>
      <c r="M36" s="19"/>
      <c r="N36" s="20"/>
      <c r="P36" s="81"/>
    </row>
    <row r="37" spans="1:16" s="11" customFormat="1" ht="11.25">
      <c r="A37" s="12"/>
      <c r="B37" s="13"/>
      <c r="C37" s="14"/>
      <c r="D37" s="27" t="s">
        <v>20</v>
      </c>
      <c r="E37" s="28">
        <f aca="true" t="shared" si="8" ref="E37:M37">SUM(E33:E33)</f>
        <v>0</v>
      </c>
      <c r="F37" s="29">
        <f t="shared" si="8"/>
        <v>5000</v>
      </c>
      <c r="G37" s="85">
        <f t="shared" si="8"/>
        <v>5000</v>
      </c>
      <c r="H37" s="89">
        <f t="shared" si="8"/>
        <v>5000</v>
      </c>
      <c r="I37" s="29">
        <f>SUM(I33:I33)</f>
        <v>0</v>
      </c>
      <c r="J37" s="90">
        <f>SUM(J33:J33)</f>
        <v>5000</v>
      </c>
      <c r="K37" s="32">
        <f t="shared" si="8"/>
        <v>0</v>
      </c>
      <c r="L37" s="30">
        <f t="shared" si="8"/>
        <v>0</v>
      </c>
      <c r="M37" s="31">
        <f t="shared" si="8"/>
        <v>0</v>
      </c>
      <c r="N37" s="32"/>
      <c r="P37" s="81"/>
    </row>
    <row r="38" spans="1:16" s="11" customFormat="1" ht="11.25">
      <c r="A38" s="12"/>
      <c r="B38" s="13"/>
      <c r="C38" s="14"/>
      <c r="D38" s="27" t="s">
        <v>21</v>
      </c>
      <c r="E38" s="28">
        <f aca="true" t="shared" si="9" ref="E38:M38">SUM(E34:E36)</f>
        <v>27000</v>
      </c>
      <c r="F38" s="29">
        <f t="shared" si="9"/>
        <v>13300</v>
      </c>
      <c r="G38" s="85">
        <f t="shared" si="9"/>
        <v>40300</v>
      </c>
      <c r="H38" s="89">
        <f t="shared" si="9"/>
        <v>30000</v>
      </c>
      <c r="I38" s="29">
        <f>SUM(I34:I36)</f>
        <v>0</v>
      </c>
      <c r="J38" s="90">
        <f>SUM(J34:J36)</f>
        <v>30000</v>
      </c>
      <c r="K38" s="32">
        <f t="shared" si="9"/>
        <v>20000</v>
      </c>
      <c r="L38" s="30">
        <f t="shared" si="9"/>
        <v>20000</v>
      </c>
      <c r="M38" s="31">
        <f t="shared" si="9"/>
        <v>20000</v>
      </c>
      <c r="N38" s="32"/>
      <c r="P38" s="81"/>
    </row>
    <row r="39" spans="1:16" s="11" customFormat="1" ht="11.25">
      <c r="A39" s="12"/>
      <c r="B39" s="13"/>
      <c r="C39" s="14"/>
      <c r="D39" s="27" t="s">
        <v>22</v>
      </c>
      <c r="E39" s="28">
        <f aca="true" t="shared" si="10" ref="E39:M39">E37-E38</f>
        <v>-27000</v>
      </c>
      <c r="F39" s="29">
        <f>F37-F38</f>
        <v>-8300</v>
      </c>
      <c r="G39" s="85">
        <f>G37-G38</f>
        <v>-35300</v>
      </c>
      <c r="H39" s="89">
        <f t="shared" si="10"/>
        <v>-25000</v>
      </c>
      <c r="I39" s="29">
        <f>I37-I38</f>
        <v>0</v>
      </c>
      <c r="J39" s="90">
        <f>J37-J38</f>
        <v>-25000</v>
      </c>
      <c r="K39" s="32">
        <f t="shared" si="10"/>
        <v>-20000</v>
      </c>
      <c r="L39" s="30">
        <f t="shared" si="10"/>
        <v>-20000</v>
      </c>
      <c r="M39" s="31">
        <f t="shared" si="10"/>
        <v>-20000</v>
      </c>
      <c r="N39" s="32"/>
      <c r="P39" s="81"/>
    </row>
    <row r="40" spans="1:16" s="11" customFormat="1" ht="12.75">
      <c r="A40" s="21" t="s">
        <v>219</v>
      </c>
      <c r="B40" s="22"/>
      <c r="C40" s="23"/>
      <c r="D40" s="24" t="s">
        <v>220</v>
      </c>
      <c r="E40" s="28"/>
      <c r="F40" s="29"/>
      <c r="G40" s="85"/>
      <c r="H40" s="89"/>
      <c r="I40" s="29"/>
      <c r="J40" s="90"/>
      <c r="K40" s="32"/>
      <c r="L40" s="30"/>
      <c r="M40" s="31"/>
      <c r="N40" s="32"/>
      <c r="P40" s="81"/>
    </row>
    <row r="41" spans="1:16" s="11" customFormat="1" ht="11.25">
      <c r="A41" s="12">
        <v>320</v>
      </c>
      <c r="B41" s="13">
        <v>1</v>
      </c>
      <c r="C41" s="14" t="s">
        <v>32</v>
      </c>
      <c r="D41" s="15" t="s">
        <v>221</v>
      </c>
      <c r="E41" s="28"/>
      <c r="F41" s="29"/>
      <c r="G41" s="85"/>
      <c r="H41" s="89"/>
      <c r="I41" s="17">
        <v>106600</v>
      </c>
      <c r="J41" s="102">
        <f>SUM(H41:I41)</f>
        <v>106600</v>
      </c>
      <c r="K41" s="32"/>
      <c r="L41" s="30"/>
      <c r="M41" s="31"/>
      <c r="N41" s="32"/>
      <c r="P41" s="81"/>
    </row>
    <row r="42" spans="1:17" s="11" customFormat="1" ht="11.25">
      <c r="A42" s="12">
        <v>320</v>
      </c>
      <c r="B42" s="13">
        <v>1</v>
      </c>
      <c r="C42" s="14">
        <v>9400</v>
      </c>
      <c r="D42" s="15" t="s">
        <v>212</v>
      </c>
      <c r="E42" s="16">
        <v>0</v>
      </c>
      <c r="F42" s="17">
        <v>30000</v>
      </c>
      <c r="G42" s="38">
        <f>SUM(E42:F42)</f>
        <v>30000</v>
      </c>
      <c r="H42" s="91">
        <v>0</v>
      </c>
      <c r="I42" s="17">
        <v>160000</v>
      </c>
      <c r="J42" s="102">
        <f>SUM(H42:I42)</f>
        <v>160000</v>
      </c>
      <c r="K42" s="41">
        <v>0</v>
      </c>
      <c r="L42" s="42"/>
      <c r="M42" s="43"/>
      <c r="N42" s="41"/>
      <c r="P42" s="81"/>
      <c r="Q42" s="11">
        <f>I42/3</f>
        <v>53333.333333333336</v>
      </c>
    </row>
    <row r="43" spans="1:17" s="11" customFormat="1" ht="11.25">
      <c r="A43" s="12"/>
      <c r="B43" s="13"/>
      <c r="C43" s="14"/>
      <c r="D43" s="27" t="s">
        <v>20</v>
      </c>
      <c r="E43" s="28">
        <f aca="true" t="shared" si="11" ref="E43:M43">SUM(0)</f>
        <v>0</v>
      </c>
      <c r="F43" s="29">
        <f t="shared" si="11"/>
        <v>0</v>
      </c>
      <c r="G43" s="85">
        <f t="shared" si="11"/>
        <v>0</v>
      </c>
      <c r="H43" s="89">
        <f t="shared" si="11"/>
        <v>0</v>
      </c>
      <c r="I43" s="29">
        <f>I41</f>
        <v>106600</v>
      </c>
      <c r="J43" s="90">
        <f>J41</f>
        <v>106600</v>
      </c>
      <c r="K43" s="32">
        <f t="shared" si="11"/>
        <v>0</v>
      </c>
      <c r="L43" s="30">
        <f t="shared" si="11"/>
        <v>0</v>
      </c>
      <c r="M43" s="31">
        <f t="shared" si="11"/>
        <v>0</v>
      </c>
      <c r="N43" s="32"/>
      <c r="P43" s="81"/>
      <c r="Q43" s="11">
        <f>Q42*2</f>
        <v>106666.66666666667</v>
      </c>
    </row>
    <row r="44" spans="1:16" s="11" customFormat="1" ht="11.25">
      <c r="A44" s="12"/>
      <c r="B44" s="13"/>
      <c r="C44" s="14"/>
      <c r="D44" s="27" t="s">
        <v>21</v>
      </c>
      <c r="E44" s="28">
        <f aca="true" t="shared" si="12" ref="E44:M44">SUM(E42)</f>
        <v>0</v>
      </c>
      <c r="F44" s="29">
        <f>SUM(F42)</f>
        <v>30000</v>
      </c>
      <c r="G44" s="85">
        <f>SUM(G42)</f>
        <v>30000</v>
      </c>
      <c r="H44" s="89">
        <f t="shared" si="12"/>
        <v>0</v>
      </c>
      <c r="I44" s="29">
        <f>SUM(I42)</f>
        <v>160000</v>
      </c>
      <c r="J44" s="90">
        <f>SUM(J42)</f>
        <v>160000</v>
      </c>
      <c r="K44" s="32">
        <f t="shared" si="12"/>
        <v>0</v>
      </c>
      <c r="L44" s="30">
        <f t="shared" si="12"/>
        <v>0</v>
      </c>
      <c r="M44" s="31">
        <f t="shared" si="12"/>
        <v>0</v>
      </c>
      <c r="N44" s="32"/>
      <c r="P44" s="81"/>
    </row>
    <row r="45" spans="1:14" s="11" customFormat="1" ht="11.25">
      <c r="A45" s="12"/>
      <c r="B45" s="13"/>
      <c r="C45" s="14"/>
      <c r="D45" s="27" t="s">
        <v>22</v>
      </c>
      <c r="E45" s="28">
        <f aca="true" t="shared" si="13" ref="E45:M45">E43-E44</f>
        <v>0</v>
      </c>
      <c r="F45" s="29">
        <f>F43-F44</f>
        <v>-30000</v>
      </c>
      <c r="G45" s="85">
        <f>G43-G44</f>
        <v>-30000</v>
      </c>
      <c r="H45" s="89">
        <f t="shared" si="13"/>
        <v>0</v>
      </c>
      <c r="I45" s="29">
        <f>I43-I44</f>
        <v>-53400</v>
      </c>
      <c r="J45" s="90">
        <f>J43-J44</f>
        <v>-53400</v>
      </c>
      <c r="K45" s="32">
        <f t="shared" si="13"/>
        <v>0</v>
      </c>
      <c r="L45" s="30">
        <f t="shared" si="13"/>
        <v>0</v>
      </c>
      <c r="M45" s="31">
        <f t="shared" si="13"/>
        <v>0</v>
      </c>
      <c r="N45" s="32"/>
    </row>
    <row r="46" spans="1:14" s="11" customFormat="1" ht="13.5" customHeight="1">
      <c r="A46" s="21" t="s">
        <v>50</v>
      </c>
      <c r="B46" s="22"/>
      <c r="C46" s="23"/>
      <c r="D46" s="24" t="s">
        <v>51</v>
      </c>
      <c r="E46" s="28"/>
      <c r="F46" s="29"/>
      <c r="G46" s="85"/>
      <c r="H46" s="89"/>
      <c r="I46" s="29"/>
      <c r="J46" s="90"/>
      <c r="K46" s="32"/>
      <c r="L46" s="30"/>
      <c r="M46" s="31"/>
      <c r="N46" s="32"/>
    </row>
    <row r="47" spans="1:14" s="11" customFormat="1" ht="11.25" customHeight="1">
      <c r="A47" s="12" t="s">
        <v>52</v>
      </c>
      <c r="B47" s="13"/>
      <c r="C47" s="14" t="s">
        <v>53</v>
      </c>
      <c r="D47" s="15" t="s">
        <v>54</v>
      </c>
      <c r="E47" s="25">
        <v>6800</v>
      </c>
      <c r="F47" s="26"/>
      <c r="G47" s="38">
        <f aca="true" t="shared" si="14" ref="G47:G53">SUM(E47:F47)</f>
        <v>6800</v>
      </c>
      <c r="H47" s="88">
        <v>6600</v>
      </c>
      <c r="I47" s="26"/>
      <c r="J47" s="102">
        <f aca="true" t="shared" si="15" ref="J47:J53">SUM(H47:I47)</f>
        <v>6600</v>
      </c>
      <c r="K47" s="20">
        <v>6600</v>
      </c>
      <c r="L47" s="18">
        <v>6600</v>
      </c>
      <c r="M47" s="19">
        <v>6600</v>
      </c>
      <c r="N47" s="20"/>
    </row>
    <row r="48" spans="1:14" s="11" customFormat="1" ht="11.25" customHeight="1">
      <c r="A48" s="12" t="s">
        <v>52</v>
      </c>
      <c r="B48" s="13"/>
      <c r="C48" s="14" t="s">
        <v>55</v>
      </c>
      <c r="D48" s="15" t="s">
        <v>56</v>
      </c>
      <c r="E48" s="25">
        <v>6800</v>
      </c>
      <c r="F48" s="26"/>
      <c r="G48" s="38">
        <f t="shared" si="14"/>
        <v>6800</v>
      </c>
      <c r="H48" s="88">
        <v>6600</v>
      </c>
      <c r="I48" s="26"/>
      <c r="J48" s="102">
        <f t="shared" si="15"/>
        <v>6600</v>
      </c>
      <c r="K48" s="20">
        <v>6600</v>
      </c>
      <c r="L48" s="18">
        <v>6600</v>
      </c>
      <c r="M48" s="19">
        <v>6600</v>
      </c>
      <c r="N48" s="20"/>
    </row>
    <row r="49" spans="1:14" s="11" customFormat="1" ht="11.25" customHeight="1">
      <c r="A49" s="12" t="s">
        <v>52</v>
      </c>
      <c r="B49" s="13"/>
      <c r="C49" s="14" t="s">
        <v>14</v>
      </c>
      <c r="D49" s="15" t="s">
        <v>15</v>
      </c>
      <c r="E49" s="25">
        <v>0</v>
      </c>
      <c r="F49" s="26"/>
      <c r="G49" s="38">
        <f t="shared" si="14"/>
        <v>0</v>
      </c>
      <c r="H49" s="88">
        <v>600</v>
      </c>
      <c r="I49" s="26"/>
      <c r="J49" s="102">
        <f t="shared" si="15"/>
        <v>600</v>
      </c>
      <c r="K49" s="20">
        <v>500</v>
      </c>
      <c r="L49" s="18">
        <v>500</v>
      </c>
      <c r="M49" s="19">
        <v>500</v>
      </c>
      <c r="N49" s="20"/>
    </row>
    <row r="50" spans="1:14" s="11" customFormat="1" ht="11.25" customHeight="1">
      <c r="A50" s="12">
        <v>352</v>
      </c>
      <c r="B50" s="13"/>
      <c r="C50" s="14">
        <v>9351</v>
      </c>
      <c r="D50" s="15" t="s">
        <v>17</v>
      </c>
      <c r="E50" s="25">
        <v>1800</v>
      </c>
      <c r="F50" s="26"/>
      <c r="G50" s="38">
        <f>SUM(E50:F50)</f>
        <v>1800</v>
      </c>
      <c r="H50" s="88">
        <v>1800</v>
      </c>
      <c r="I50" s="26"/>
      <c r="J50" s="102">
        <f t="shared" si="15"/>
        <v>1800</v>
      </c>
      <c r="K50" s="20">
        <v>1800</v>
      </c>
      <c r="L50" s="18">
        <v>1800</v>
      </c>
      <c r="M50" s="19">
        <v>1800</v>
      </c>
      <c r="N50" s="20"/>
    </row>
    <row r="51" spans="1:14" s="11" customFormat="1" ht="11.25" customHeight="1">
      <c r="A51" s="12" t="s">
        <v>52</v>
      </c>
      <c r="B51" s="13"/>
      <c r="C51" s="14" t="s">
        <v>57</v>
      </c>
      <c r="D51" s="15" t="s">
        <v>58</v>
      </c>
      <c r="E51" s="25">
        <v>27200</v>
      </c>
      <c r="F51" s="26"/>
      <c r="G51" s="38">
        <f t="shared" si="14"/>
        <v>27200</v>
      </c>
      <c r="H51" s="88">
        <v>26200</v>
      </c>
      <c r="I51" s="26"/>
      <c r="J51" s="102">
        <f t="shared" si="15"/>
        <v>26200</v>
      </c>
      <c r="K51" s="20">
        <v>26200</v>
      </c>
      <c r="L51" s="18">
        <v>26200</v>
      </c>
      <c r="M51" s="19">
        <v>26200</v>
      </c>
      <c r="N51" s="20"/>
    </row>
    <row r="52" spans="1:14" s="11" customFormat="1" ht="11.25" customHeight="1">
      <c r="A52" s="12">
        <v>352</v>
      </c>
      <c r="B52" s="13">
        <v>1</v>
      </c>
      <c r="C52" s="14">
        <v>9351</v>
      </c>
      <c r="D52" s="15" t="s">
        <v>59</v>
      </c>
      <c r="E52" s="25">
        <v>5000</v>
      </c>
      <c r="F52" s="26"/>
      <c r="G52" s="38">
        <f t="shared" si="14"/>
        <v>5000</v>
      </c>
      <c r="H52" s="88">
        <v>0</v>
      </c>
      <c r="I52" s="26"/>
      <c r="J52" s="102">
        <f t="shared" si="15"/>
        <v>0</v>
      </c>
      <c r="K52" s="20">
        <v>0</v>
      </c>
      <c r="L52" s="18">
        <v>0</v>
      </c>
      <c r="M52" s="19"/>
      <c r="N52" s="20"/>
    </row>
    <row r="53" spans="1:14" s="11" customFormat="1" ht="11.25" customHeight="1">
      <c r="A53" s="12">
        <v>352</v>
      </c>
      <c r="B53" s="13">
        <v>1</v>
      </c>
      <c r="C53" s="14">
        <v>3674</v>
      </c>
      <c r="D53" s="15" t="s">
        <v>60</v>
      </c>
      <c r="E53" s="25">
        <v>3000</v>
      </c>
      <c r="F53" s="26"/>
      <c r="G53" s="38">
        <f t="shared" si="14"/>
        <v>3000</v>
      </c>
      <c r="H53" s="88">
        <v>0</v>
      </c>
      <c r="I53" s="26"/>
      <c r="J53" s="102">
        <f t="shared" si="15"/>
        <v>0</v>
      </c>
      <c r="K53" s="20">
        <v>0</v>
      </c>
      <c r="L53" s="18">
        <v>0</v>
      </c>
      <c r="M53" s="19"/>
      <c r="N53" s="20"/>
    </row>
    <row r="54" spans="1:14" s="11" customFormat="1" ht="11.25">
      <c r="A54" s="12"/>
      <c r="B54" s="13"/>
      <c r="C54" s="14"/>
      <c r="D54" s="27" t="s">
        <v>20</v>
      </c>
      <c r="E54" s="28">
        <f>SUM(E47:E48)+E53</f>
        <v>16600</v>
      </c>
      <c r="F54" s="29">
        <f>SUM(F47:F48)+F53</f>
        <v>0</v>
      </c>
      <c r="G54" s="85">
        <f>SUM(G47:G48)+G53</f>
        <v>16600</v>
      </c>
      <c r="H54" s="89">
        <f aca="true" t="shared" si="16" ref="H54:M54">SUM(H47:H48)</f>
        <v>13200</v>
      </c>
      <c r="I54" s="29">
        <f t="shared" si="16"/>
        <v>0</v>
      </c>
      <c r="J54" s="90">
        <f t="shared" si="16"/>
        <v>13200</v>
      </c>
      <c r="K54" s="32">
        <f t="shared" si="16"/>
        <v>13200</v>
      </c>
      <c r="L54" s="30">
        <f t="shared" si="16"/>
        <v>13200</v>
      </c>
      <c r="M54" s="31">
        <f t="shared" si="16"/>
        <v>13200</v>
      </c>
      <c r="N54" s="32"/>
    </row>
    <row r="55" spans="1:14" s="11" customFormat="1" ht="11.25">
      <c r="A55" s="12"/>
      <c r="B55" s="13"/>
      <c r="C55" s="14"/>
      <c r="D55" s="27" t="s">
        <v>21</v>
      </c>
      <c r="E55" s="28">
        <f>SUM(E49:E52)</f>
        <v>34000</v>
      </c>
      <c r="F55" s="29">
        <f>SUM(F49:F52)</f>
        <v>0</v>
      </c>
      <c r="G55" s="85">
        <f>SUM(G49:G52)</f>
        <v>34000</v>
      </c>
      <c r="H55" s="89">
        <f aca="true" t="shared" si="17" ref="H55:M55">SUM(H49:H51)</f>
        <v>28600</v>
      </c>
      <c r="I55" s="29">
        <f t="shared" si="17"/>
        <v>0</v>
      </c>
      <c r="J55" s="90">
        <f t="shared" si="17"/>
        <v>28600</v>
      </c>
      <c r="K55" s="32">
        <f t="shared" si="17"/>
        <v>28500</v>
      </c>
      <c r="L55" s="30">
        <f t="shared" si="17"/>
        <v>28500</v>
      </c>
      <c r="M55" s="31">
        <f t="shared" si="17"/>
        <v>28500</v>
      </c>
      <c r="N55" s="32"/>
    </row>
    <row r="56" spans="1:14" s="11" customFormat="1" ht="11.25">
      <c r="A56" s="12"/>
      <c r="B56" s="13"/>
      <c r="C56" s="14"/>
      <c r="D56" s="27" t="s">
        <v>22</v>
      </c>
      <c r="E56" s="28">
        <f aca="true" t="shared" si="18" ref="E56:M56">E54-E55</f>
        <v>-17400</v>
      </c>
      <c r="F56" s="29">
        <f t="shared" si="18"/>
        <v>0</v>
      </c>
      <c r="G56" s="85">
        <f t="shared" si="18"/>
        <v>-17400</v>
      </c>
      <c r="H56" s="89">
        <f t="shared" si="18"/>
        <v>-15400</v>
      </c>
      <c r="I56" s="29">
        <f>I54-I55</f>
        <v>0</v>
      </c>
      <c r="J56" s="90">
        <f>J54-J55</f>
        <v>-15400</v>
      </c>
      <c r="K56" s="32">
        <f t="shared" si="18"/>
        <v>-15300</v>
      </c>
      <c r="L56" s="30">
        <f t="shared" si="18"/>
        <v>-15300</v>
      </c>
      <c r="M56" s="31">
        <f t="shared" si="18"/>
        <v>-15300</v>
      </c>
      <c r="N56" s="32"/>
    </row>
    <row r="57" spans="1:14" s="11" customFormat="1" ht="13.5" customHeight="1">
      <c r="A57" s="21" t="s">
        <v>61</v>
      </c>
      <c r="B57" s="22"/>
      <c r="C57" s="23"/>
      <c r="D57" s="24" t="s">
        <v>62</v>
      </c>
      <c r="E57" s="28"/>
      <c r="F57" s="29"/>
      <c r="G57" s="85"/>
      <c r="H57" s="89"/>
      <c r="I57" s="29"/>
      <c r="J57" s="90"/>
      <c r="K57" s="32"/>
      <c r="L57" s="30"/>
      <c r="M57" s="31"/>
      <c r="N57" s="32"/>
    </row>
    <row r="58" spans="1:14" s="11" customFormat="1" ht="11.25">
      <c r="A58" s="12">
        <v>4515</v>
      </c>
      <c r="B58" s="13"/>
      <c r="C58" s="14">
        <v>9350</v>
      </c>
      <c r="D58" s="15" t="s">
        <v>63</v>
      </c>
      <c r="E58" s="16">
        <v>0</v>
      </c>
      <c r="F58" s="17">
        <v>0</v>
      </c>
      <c r="G58" s="84">
        <v>0</v>
      </c>
      <c r="H58" s="91">
        <v>0</v>
      </c>
      <c r="I58" s="17"/>
      <c r="J58" s="102">
        <f>SUM(H58:I58)</f>
        <v>0</v>
      </c>
      <c r="K58" s="41">
        <v>0</v>
      </c>
      <c r="L58" s="42">
        <v>0</v>
      </c>
      <c r="M58" s="43">
        <v>0</v>
      </c>
      <c r="N58" s="32"/>
    </row>
    <row r="59" spans="1:14" s="11" customFormat="1" ht="11.25">
      <c r="A59" s="12">
        <v>4515</v>
      </c>
      <c r="B59" s="13">
        <v>1</v>
      </c>
      <c r="C59" s="14">
        <v>3675</v>
      </c>
      <c r="D59" s="15" t="s">
        <v>200</v>
      </c>
      <c r="E59" s="16"/>
      <c r="F59" s="17"/>
      <c r="G59" s="84">
        <v>0</v>
      </c>
      <c r="H59" s="91">
        <v>15000</v>
      </c>
      <c r="I59" s="17">
        <v>0</v>
      </c>
      <c r="J59" s="102">
        <f>SUM(H59:I59)</f>
        <v>15000</v>
      </c>
      <c r="K59" s="41"/>
      <c r="L59" s="42"/>
      <c r="M59" s="43"/>
      <c r="N59" s="32"/>
    </row>
    <row r="60" spans="1:14" s="11" customFormat="1" ht="11.25">
      <c r="A60" s="12">
        <v>4515</v>
      </c>
      <c r="B60" s="13">
        <v>1</v>
      </c>
      <c r="C60" s="14">
        <v>9500</v>
      </c>
      <c r="D60" s="15" t="s">
        <v>206</v>
      </c>
      <c r="E60" s="16"/>
      <c r="F60" s="17"/>
      <c r="G60" s="84">
        <v>0</v>
      </c>
      <c r="H60" s="91">
        <v>15000</v>
      </c>
      <c r="I60" s="17">
        <v>0</v>
      </c>
      <c r="J60" s="102">
        <f>SUM(H60:I60)</f>
        <v>15000</v>
      </c>
      <c r="K60" s="41">
        <v>0</v>
      </c>
      <c r="L60" s="42">
        <v>0</v>
      </c>
      <c r="M60" s="43">
        <v>0</v>
      </c>
      <c r="N60" s="32"/>
    </row>
    <row r="61" spans="1:14" s="11" customFormat="1" ht="11.25">
      <c r="A61" s="12"/>
      <c r="B61" s="13"/>
      <c r="C61" s="14"/>
      <c r="D61" s="27" t="s">
        <v>20</v>
      </c>
      <c r="E61" s="28">
        <f>SUM(0)</f>
        <v>0</v>
      </c>
      <c r="F61" s="29">
        <f>SUM(0)</f>
        <v>0</v>
      </c>
      <c r="G61" s="85">
        <f aca="true" t="shared" si="19" ref="G61:M61">SUM(G59)</f>
        <v>0</v>
      </c>
      <c r="H61" s="89">
        <f t="shared" si="19"/>
        <v>15000</v>
      </c>
      <c r="I61" s="29">
        <f>SUM(I59)</f>
        <v>0</v>
      </c>
      <c r="J61" s="90">
        <f t="shared" si="19"/>
        <v>15000</v>
      </c>
      <c r="K61" s="32">
        <f t="shared" si="19"/>
        <v>0</v>
      </c>
      <c r="L61" s="30">
        <f t="shared" si="19"/>
        <v>0</v>
      </c>
      <c r="M61" s="31">
        <f t="shared" si="19"/>
        <v>0</v>
      </c>
      <c r="N61" s="32"/>
    </row>
    <row r="62" spans="1:14" s="11" customFormat="1" ht="11.25">
      <c r="A62" s="12"/>
      <c r="B62" s="13"/>
      <c r="C62" s="14"/>
      <c r="D62" s="27" t="s">
        <v>21</v>
      </c>
      <c r="E62" s="28">
        <f>E58</f>
        <v>0</v>
      </c>
      <c r="F62" s="29">
        <f>F58</f>
        <v>0</v>
      </c>
      <c r="G62" s="85">
        <f aca="true" t="shared" si="20" ref="G62:M62">SUM(G60+G58)</f>
        <v>0</v>
      </c>
      <c r="H62" s="89">
        <f t="shared" si="20"/>
        <v>15000</v>
      </c>
      <c r="I62" s="29">
        <f>SUM(I60+I58)</f>
        <v>0</v>
      </c>
      <c r="J62" s="90">
        <f t="shared" si="20"/>
        <v>15000</v>
      </c>
      <c r="K62" s="32">
        <f t="shared" si="20"/>
        <v>0</v>
      </c>
      <c r="L62" s="30">
        <f t="shared" si="20"/>
        <v>0</v>
      </c>
      <c r="M62" s="31">
        <f t="shared" si="20"/>
        <v>0</v>
      </c>
      <c r="N62" s="32"/>
    </row>
    <row r="63" spans="1:14" s="11" customFormat="1" ht="11.25">
      <c r="A63" s="12"/>
      <c r="B63" s="13"/>
      <c r="C63" s="14"/>
      <c r="D63" s="27" t="s">
        <v>22</v>
      </c>
      <c r="E63" s="28">
        <f aca="true" t="shared" si="21" ref="E63:M63">E61-E62</f>
        <v>0</v>
      </c>
      <c r="F63" s="29">
        <f t="shared" si="21"/>
        <v>0</v>
      </c>
      <c r="G63" s="85">
        <f t="shared" si="21"/>
        <v>0</v>
      </c>
      <c r="H63" s="89">
        <f t="shared" si="21"/>
        <v>0</v>
      </c>
      <c r="I63" s="29">
        <f>I61-I62</f>
        <v>0</v>
      </c>
      <c r="J63" s="90">
        <f>J61-J62</f>
        <v>0</v>
      </c>
      <c r="K63" s="32">
        <f t="shared" si="21"/>
        <v>0</v>
      </c>
      <c r="L63" s="30">
        <f t="shared" si="21"/>
        <v>0</v>
      </c>
      <c r="M63" s="31">
        <f t="shared" si="21"/>
        <v>0</v>
      </c>
      <c r="N63" s="32"/>
    </row>
    <row r="64" spans="1:14" s="11" customFormat="1" ht="13.5" customHeight="1" hidden="1">
      <c r="A64" s="21" t="s">
        <v>64</v>
      </c>
      <c r="B64" s="22"/>
      <c r="C64" s="23"/>
      <c r="D64" s="24" t="s">
        <v>65</v>
      </c>
      <c r="E64" s="28"/>
      <c r="F64" s="29"/>
      <c r="G64" s="85"/>
      <c r="H64" s="89"/>
      <c r="I64" s="29"/>
      <c r="J64" s="90"/>
      <c r="K64" s="32"/>
      <c r="L64" s="30"/>
      <c r="M64" s="31"/>
      <c r="N64" s="32"/>
    </row>
    <row r="65" spans="1:14" s="11" customFormat="1" ht="11.25" hidden="1">
      <c r="A65" s="12">
        <v>4601</v>
      </c>
      <c r="B65" s="13" t="s">
        <v>39</v>
      </c>
      <c r="C65" s="14" t="s">
        <v>18</v>
      </c>
      <c r="D65" s="15" t="s">
        <v>66</v>
      </c>
      <c r="E65" s="16">
        <v>0</v>
      </c>
      <c r="F65" s="17">
        <v>0</v>
      </c>
      <c r="G65" s="84">
        <v>0</v>
      </c>
      <c r="H65" s="91">
        <v>0</v>
      </c>
      <c r="I65" s="17"/>
      <c r="J65" s="102">
        <f>SUM(H65:I65)</f>
        <v>0</v>
      </c>
      <c r="K65" s="41">
        <v>0</v>
      </c>
      <c r="L65" s="42">
        <v>0</v>
      </c>
      <c r="M65" s="43">
        <v>0</v>
      </c>
      <c r="N65" s="32"/>
    </row>
    <row r="66" spans="1:14" s="11" customFormat="1" ht="11.25" hidden="1">
      <c r="A66" s="12">
        <v>4601</v>
      </c>
      <c r="B66" s="13" t="s">
        <v>39</v>
      </c>
      <c r="C66" s="14" t="s">
        <v>18</v>
      </c>
      <c r="D66" s="15" t="s">
        <v>67</v>
      </c>
      <c r="E66" s="16"/>
      <c r="F66" s="17"/>
      <c r="G66" s="84">
        <v>0</v>
      </c>
      <c r="H66" s="91">
        <v>0</v>
      </c>
      <c r="I66" s="17"/>
      <c r="J66" s="102">
        <f>SUM(H66:I66)</f>
        <v>0</v>
      </c>
      <c r="K66" s="41">
        <v>0</v>
      </c>
      <c r="L66" s="42">
        <v>0</v>
      </c>
      <c r="M66" s="43">
        <v>0</v>
      </c>
      <c r="N66" s="32"/>
    </row>
    <row r="67" spans="1:14" s="11" customFormat="1" ht="11.25" hidden="1">
      <c r="A67" s="12"/>
      <c r="B67" s="13"/>
      <c r="C67" s="14"/>
      <c r="D67" s="27" t="s">
        <v>20</v>
      </c>
      <c r="E67" s="28">
        <f aca="true" t="shared" si="22" ref="E67:M67">SUM(0)</f>
        <v>0</v>
      </c>
      <c r="F67" s="29">
        <f t="shared" si="22"/>
        <v>0</v>
      </c>
      <c r="G67" s="85">
        <f t="shared" si="22"/>
        <v>0</v>
      </c>
      <c r="H67" s="89">
        <f t="shared" si="22"/>
        <v>0</v>
      </c>
      <c r="I67" s="29">
        <f t="shared" si="22"/>
        <v>0</v>
      </c>
      <c r="J67" s="90">
        <f t="shared" si="22"/>
        <v>0</v>
      </c>
      <c r="K67" s="32">
        <f t="shared" si="22"/>
        <v>0</v>
      </c>
      <c r="L67" s="30">
        <f t="shared" si="22"/>
        <v>0</v>
      </c>
      <c r="M67" s="31">
        <f t="shared" si="22"/>
        <v>0</v>
      </c>
      <c r="N67" s="32"/>
    </row>
    <row r="68" spans="1:14" s="11" customFormat="1" ht="11.25" hidden="1">
      <c r="A68" s="12"/>
      <c r="B68" s="13"/>
      <c r="C68" s="14"/>
      <c r="D68" s="27" t="s">
        <v>21</v>
      </c>
      <c r="E68" s="28">
        <f>E65</f>
        <v>0</v>
      </c>
      <c r="F68" s="29">
        <f>F65</f>
        <v>0</v>
      </c>
      <c r="G68" s="85">
        <f aca="true" t="shared" si="23" ref="G68:M68">SUM(G65:G66)</f>
        <v>0</v>
      </c>
      <c r="H68" s="89">
        <f t="shared" si="23"/>
        <v>0</v>
      </c>
      <c r="I68" s="29">
        <f t="shared" si="23"/>
        <v>0</v>
      </c>
      <c r="J68" s="90">
        <f t="shared" si="23"/>
        <v>0</v>
      </c>
      <c r="K68" s="32">
        <f t="shared" si="23"/>
        <v>0</v>
      </c>
      <c r="L68" s="30">
        <f t="shared" si="23"/>
        <v>0</v>
      </c>
      <c r="M68" s="31">
        <f t="shared" si="23"/>
        <v>0</v>
      </c>
      <c r="N68" s="32"/>
    </row>
    <row r="69" spans="1:14" s="11" customFormat="1" ht="11.25" hidden="1">
      <c r="A69" s="12"/>
      <c r="B69" s="13"/>
      <c r="C69" s="14"/>
      <c r="D69" s="27" t="s">
        <v>22</v>
      </c>
      <c r="E69" s="28">
        <f aca="true" t="shared" si="24" ref="E69:M69">E67-E68</f>
        <v>0</v>
      </c>
      <c r="F69" s="29">
        <f t="shared" si="24"/>
        <v>0</v>
      </c>
      <c r="G69" s="85">
        <f t="shared" si="24"/>
        <v>0</v>
      </c>
      <c r="H69" s="89">
        <f t="shared" si="24"/>
        <v>0</v>
      </c>
      <c r="I69" s="29">
        <f>I67-I68</f>
        <v>0</v>
      </c>
      <c r="J69" s="90">
        <f>J67-J68</f>
        <v>0</v>
      </c>
      <c r="K69" s="32">
        <f t="shared" si="24"/>
        <v>0</v>
      </c>
      <c r="L69" s="30">
        <f t="shared" si="24"/>
        <v>0</v>
      </c>
      <c r="M69" s="31">
        <f t="shared" si="24"/>
        <v>0</v>
      </c>
      <c r="N69" s="32"/>
    </row>
    <row r="70" spans="1:14" s="11" customFormat="1" ht="13.5" customHeight="1">
      <c r="A70" s="21" t="s">
        <v>68</v>
      </c>
      <c r="B70" s="22"/>
      <c r="C70" s="23"/>
      <c r="D70" s="24" t="s">
        <v>69</v>
      </c>
      <c r="E70" s="28"/>
      <c r="F70" s="29"/>
      <c r="G70" s="85"/>
      <c r="H70" s="89"/>
      <c r="I70" s="29"/>
      <c r="J70" s="90"/>
      <c r="K70" s="32"/>
      <c r="L70" s="30"/>
      <c r="M70" s="31"/>
      <c r="N70" s="32"/>
    </row>
    <row r="71" spans="1:14" s="11" customFormat="1" ht="11.25">
      <c r="A71" s="12">
        <v>4602</v>
      </c>
      <c r="B71" s="13"/>
      <c r="C71" s="14">
        <v>9350</v>
      </c>
      <c r="D71" s="15" t="s">
        <v>70</v>
      </c>
      <c r="E71" s="16">
        <v>0</v>
      </c>
      <c r="F71" s="17">
        <v>4000</v>
      </c>
      <c r="G71" s="84">
        <f>E71+F71</f>
        <v>4000</v>
      </c>
      <c r="H71" s="91">
        <v>0</v>
      </c>
      <c r="I71" s="17"/>
      <c r="J71" s="102">
        <f>SUM(H71:I71)</f>
        <v>0</v>
      </c>
      <c r="K71" s="41">
        <v>0</v>
      </c>
      <c r="L71" s="42">
        <v>0</v>
      </c>
      <c r="M71" s="43"/>
      <c r="N71" s="32"/>
    </row>
    <row r="72" spans="1:14" s="11" customFormat="1" ht="11.25">
      <c r="A72" s="12">
        <v>4602</v>
      </c>
      <c r="B72" s="13">
        <v>5</v>
      </c>
      <c r="C72" s="14">
        <v>9400</v>
      </c>
      <c r="D72" s="15" t="s">
        <v>71</v>
      </c>
      <c r="E72" s="44">
        <v>0</v>
      </c>
      <c r="F72" s="45"/>
      <c r="G72" s="38">
        <f>SUM(E72:F72)</f>
        <v>0</v>
      </c>
      <c r="H72" s="88">
        <f>15000+26100</f>
        <v>41100</v>
      </c>
      <c r="I72" s="26"/>
      <c r="J72" s="102">
        <f>SUM(H72:I72)</f>
        <v>41100</v>
      </c>
      <c r="K72" s="20">
        <v>31000</v>
      </c>
      <c r="L72" s="18">
        <v>0</v>
      </c>
      <c r="M72" s="19"/>
      <c r="N72" s="20"/>
    </row>
    <row r="73" spans="1:14" s="11" customFormat="1" ht="11.25">
      <c r="A73" s="12">
        <v>4602</v>
      </c>
      <c r="B73" s="13" t="s">
        <v>39</v>
      </c>
      <c r="C73" s="14">
        <v>9400</v>
      </c>
      <c r="D73" s="15" t="s">
        <v>72</v>
      </c>
      <c r="E73" s="44">
        <v>0</v>
      </c>
      <c r="F73" s="45">
        <v>0</v>
      </c>
      <c r="G73" s="38">
        <v>0</v>
      </c>
      <c r="H73" s="88">
        <v>0</v>
      </c>
      <c r="I73" s="26"/>
      <c r="J73" s="102">
        <f>SUM(H73:I73)</f>
        <v>0</v>
      </c>
      <c r="K73" s="20"/>
      <c r="L73" s="18"/>
      <c r="M73" s="19">
        <v>120000</v>
      </c>
      <c r="N73" s="20"/>
    </row>
    <row r="74" spans="1:14" s="11" customFormat="1" ht="11.25">
      <c r="A74" s="12">
        <v>4602</v>
      </c>
      <c r="B74" s="13">
        <v>6</v>
      </c>
      <c r="C74" s="14">
        <v>9400</v>
      </c>
      <c r="D74" s="15" t="s">
        <v>194</v>
      </c>
      <c r="E74" s="44"/>
      <c r="F74" s="45"/>
      <c r="G74" s="38">
        <v>0</v>
      </c>
      <c r="H74" s="88">
        <v>35000</v>
      </c>
      <c r="I74" s="26">
        <v>0</v>
      </c>
      <c r="J74" s="102">
        <f>SUM(H74:I74)</f>
        <v>35000</v>
      </c>
      <c r="K74" s="20"/>
      <c r="L74" s="18"/>
      <c r="M74" s="19"/>
      <c r="N74" s="20"/>
    </row>
    <row r="75" spans="1:14" s="11" customFormat="1" ht="11.25">
      <c r="A75" s="12"/>
      <c r="B75" s="13"/>
      <c r="C75" s="14"/>
      <c r="D75" s="27" t="s">
        <v>20</v>
      </c>
      <c r="E75" s="28">
        <f aca="true" t="shared" si="25" ref="E75:M75">SUM(0)</f>
        <v>0</v>
      </c>
      <c r="F75" s="29">
        <f t="shared" si="25"/>
        <v>0</v>
      </c>
      <c r="G75" s="85">
        <v>0</v>
      </c>
      <c r="H75" s="89">
        <f t="shared" si="25"/>
        <v>0</v>
      </c>
      <c r="I75" s="29">
        <f t="shared" si="25"/>
        <v>0</v>
      </c>
      <c r="J75" s="90">
        <f t="shared" si="25"/>
        <v>0</v>
      </c>
      <c r="K75" s="32">
        <f t="shared" si="25"/>
        <v>0</v>
      </c>
      <c r="L75" s="30">
        <f t="shared" si="25"/>
        <v>0</v>
      </c>
      <c r="M75" s="31">
        <f t="shared" si="25"/>
        <v>0</v>
      </c>
      <c r="N75" s="32"/>
    </row>
    <row r="76" spans="1:14" s="11" customFormat="1" ht="11.25">
      <c r="A76" s="12"/>
      <c r="B76" s="13"/>
      <c r="C76" s="14"/>
      <c r="D76" s="27" t="s">
        <v>21</v>
      </c>
      <c r="E76" s="28">
        <f>SUM(E71:E73)</f>
        <v>0</v>
      </c>
      <c r="F76" s="29">
        <f>F72+F71</f>
        <v>4000</v>
      </c>
      <c r="G76" s="85">
        <f aca="true" t="shared" si="26" ref="G76:M76">SUM(G71:G74)</f>
        <v>4000</v>
      </c>
      <c r="H76" s="89">
        <f t="shared" si="26"/>
        <v>76100</v>
      </c>
      <c r="I76" s="29">
        <f t="shared" si="26"/>
        <v>0</v>
      </c>
      <c r="J76" s="90">
        <f t="shared" si="26"/>
        <v>76100</v>
      </c>
      <c r="K76" s="32">
        <f t="shared" si="26"/>
        <v>31000</v>
      </c>
      <c r="L76" s="30">
        <f t="shared" si="26"/>
        <v>0</v>
      </c>
      <c r="M76" s="31">
        <f t="shared" si="26"/>
        <v>120000</v>
      </c>
      <c r="N76" s="32"/>
    </row>
    <row r="77" spans="1:14" s="11" customFormat="1" ht="11.25">
      <c r="A77" s="12"/>
      <c r="B77" s="13"/>
      <c r="C77" s="14"/>
      <c r="D77" s="27" t="s">
        <v>22</v>
      </c>
      <c r="E77" s="28">
        <f aca="true" t="shared" si="27" ref="E77:M77">E75-E76</f>
        <v>0</v>
      </c>
      <c r="F77" s="29">
        <f>F75-F76</f>
        <v>-4000</v>
      </c>
      <c r="G77" s="85">
        <f>G75-G76</f>
        <v>-4000</v>
      </c>
      <c r="H77" s="89">
        <f t="shared" si="27"/>
        <v>-76100</v>
      </c>
      <c r="I77" s="29">
        <f>I75-I76</f>
        <v>0</v>
      </c>
      <c r="J77" s="90">
        <f>J75-J76</f>
        <v>-76100</v>
      </c>
      <c r="K77" s="32">
        <f t="shared" si="27"/>
        <v>-31000</v>
      </c>
      <c r="L77" s="30">
        <f t="shared" si="27"/>
        <v>0</v>
      </c>
      <c r="M77" s="31">
        <f t="shared" si="27"/>
        <v>-120000</v>
      </c>
      <c r="N77" s="32"/>
    </row>
    <row r="78" spans="1:14" s="11" customFormat="1" ht="13.5" customHeight="1">
      <c r="A78" s="21" t="s">
        <v>73</v>
      </c>
      <c r="B78" s="22"/>
      <c r="C78" s="23"/>
      <c r="D78" s="24" t="s">
        <v>74</v>
      </c>
      <c r="E78" s="28"/>
      <c r="F78" s="29"/>
      <c r="G78" s="85"/>
      <c r="H78" s="89"/>
      <c r="I78" s="29"/>
      <c r="J78" s="90"/>
      <c r="K78" s="32"/>
      <c r="L78" s="30"/>
      <c r="M78" s="31"/>
      <c r="N78" s="32"/>
    </row>
    <row r="79" spans="1:14" s="11" customFormat="1" ht="13.5" customHeight="1">
      <c r="A79" s="12">
        <v>4640</v>
      </c>
      <c r="B79" s="13"/>
      <c r="C79" s="14">
        <v>9350</v>
      </c>
      <c r="D79" s="15" t="s">
        <v>15</v>
      </c>
      <c r="E79" s="16">
        <v>0</v>
      </c>
      <c r="F79" s="17">
        <v>0</v>
      </c>
      <c r="G79" s="84">
        <v>0</v>
      </c>
      <c r="H79" s="91">
        <v>1600</v>
      </c>
      <c r="I79" s="17"/>
      <c r="J79" s="102">
        <f>SUM(H79:I79)</f>
        <v>1600</v>
      </c>
      <c r="K79" s="41">
        <v>0</v>
      </c>
      <c r="L79" s="42">
        <v>0</v>
      </c>
      <c r="M79" s="43">
        <v>0</v>
      </c>
      <c r="N79" s="32"/>
    </row>
    <row r="80" spans="1:14" s="11" customFormat="1" ht="11.25">
      <c r="A80" s="12">
        <v>4640</v>
      </c>
      <c r="B80" s="13">
        <v>7</v>
      </c>
      <c r="C80" s="14">
        <v>9400</v>
      </c>
      <c r="D80" s="15" t="s">
        <v>75</v>
      </c>
      <c r="E80" s="25">
        <v>8000</v>
      </c>
      <c r="F80" s="26"/>
      <c r="G80" s="38">
        <f>SUM(E80:F80)</f>
        <v>8000</v>
      </c>
      <c r="H80" s="88">
        <v>0</v>
      </c>
      <c r="I80" s="26"/>
      <c r="J80" s="102">
        <f>SUM(H80:I80)</f>
        <v>0</v>
      </c>
      <c r="K80" s="20">
        <v>0</v>
      </c>
      <c r="L80" s="18">
        <v>0</v>
      </c>
      <c r="M80" s="19"/>
      <c r="N80" s="20"/>
    </row>
    <row r="81" spans="1:14" s="11" customFormat="1" ht="11.25">
      <c r="A81" s="12"/>
      <c r="B81" s="13"/>
      <c r="C81" s="14"/>
      <c r="D81" s="27" t="s">
        <v>20</v>
      </c>
      <c r="E81" s="28">
        <f aca="true" t="shared" si="28" ref="E81:M81">SUM(0)</f>
        <v>0</v>
      </c>
      <c r="F81" s="29">
        <f t="shared" si="28"/>
        <v>0</v>
      </c>
      <c r="G81" s="85">
        <f t="shared" si="28"/>
        <v>0</v>
      </c>
      <c r="H81" s="89">
        <f t="shared" si="28"/>
        <v>0</v>
      </c>
      <c r="I81" s="29">
        <f t="shared" si="28"/>
        <v>0</v>
      </c>
      <c r="J81" s="90">
        <f t="shared" si="28"/>
        <v>0</v>
      </c>
      <c r="K81" s="32">
        <f t="shared" si="28"/>
        <v>0</v>
      </c>
      <c r="L81" s="30">
        <f t="shared" si="28"/>
        <v>0</v>
      </c>
      <c r="M81" s="31">
        <f t="shared" si="28"/>
        <v>0</v>
      </c>
      <c r="N81" s="32"/>
    </row>
    <row r="82" spans="1:14" s="11" customFormat="1" ht="11.25">
      <c r="A82" s="12"/>
      <c r="B82" s="13"/>
      <c r="C82" s="14"/>
      <c r="D82" s="27" t="s">
        <v>21</v>
      </c>
      <c r="E82" s="28">
        <f aca="true" t="shared" si="29" ref="E82:M82">SUM(E79:E80)</f>
        <v>8000</v>
      </c>
      <c r="F82" s="29">
        <f t="shared" si="29"/>
        <v>0</v>
      </c>
      <c r="G82" s="85">
        <f t="shared" si="29"/>
        <v>8000</v>
      </c>
      <c r="H82" s="89">
        <f t="shared" si="29"/>
        <v>1600</v>
      </c>
      <c r="I82" s="29">
        <f>SUM(I79:I80)</f>
        <v>0</v>
      </c>
      <c r="J82" s="90">
        <f>SUM(J79:J80)</f>
        <v>1600</v>
      </c>
      <c r="K82" s="32">
        <f t="shared" si="29"/>
        <v>0</v>
      </c>
      <c r="L82" s="30">
        <f t="shared" si="29"/>
        <v>0</v>
      </c>
      <c r="M82" s="31">
        <f t="shared" si="29"/>
        <v>0</v>
      </c>
      <c r="N82" s="32"/>
    </row>
    <row r="83" spans="1:14" s="11" customFormat="1" ht="11.25">
      <c r="A83" s="12"/>
      <c r="B83" s="13"/>
      <c r="C83" s="14"/>
      <c r="D83" s="27" t="s">
        <v>22</v>
      </c>
      <c r="E83" s="28">
        <f aca="true" t="shared" si="30" ref="E83:M83">E81-E82</f>
        <v>-8000</v>
      </c>
      <c r="F83" s="29">
        <f>F81-F82</f>
        <v>0</v>
      </c>
      <c r="G83" s="85">
        <f>G81-G82</f>
        <v>-8000</v>
      </c>
      <c r="H83" s="89">
        <f t="shared" si="30"/>
        <v>-1600</v>
      </c>
      <c r="I83" s="29">
        <f>I81-I82</f>
        <v>0</v>
      </c>
      <c r="J83" s="90">
        <f>J81-J82</f>
        <v>-1600</v>
      </c>
      <c r="K83" s="32">
        <f t="shared" si="30"/>
        <v>0</v>
      </c>
      <c r="L83" s="30">
        <f t="shared" si="30"/>
        <v>0</v>
      </c>
      <c r="M83" s="31">
        <f t="shared" si="30"/>
        <v>0</v>
      </c>
      <c r="N83" s="32"/>
    </row>
    <row r="84" spans="1:14" s="11" customFormat="1" ht="15" customHeight="1">
      <c r="A84" s="21" t="s">
        <v>76</v>
      </c>
      <c r="B84" s="22"/>
      <c r="C84" s="23"/>
      <c r="D84" s="24" t="s">
        <v>77</v>
      </c>
      <c r="E84" s="28"/>
      <c r="F84" s="29"/>
      <c r="G84" s="85"/>
      <c r="H84" s="89"/>
      <c r="I84" s="29"/>
      <c r="J84" s="90"/>
      <c r="K84" s="32"/>
      <c r="L84" s="30"/>
      <c r="M84" s="31"/>
      <c r="N84" s="32"/>
    </row>
    <row r="85" spans="1:14" s="11" customFormat="1" ht="11.25">
      <c r="A85" s="12" t="s">
        <v>78</v>
      </c>
      <c r="B85" s="13"/>
      <c r="C85" s="14" t="s">
        <v>14</v>
      </c>
      <c r="D85" s="15" t="s">
        <v>79</v>
      </c>
      <c r="E85" s="25">
        <v>0</v>
      </c>
      <c r="F85" s="26"/>
      <c r="G85" s="38">
        <f>SUM(E85:F85)</f>
        <v>0</v>
      </c>
      <c r="H85" s="88">
        <v>25000</v>
      </c>
      <c r="I85" s="26"/>
      <c r="J85" s="102">
        <f>SUM(H85:I85)</f>
        <v>25000</v>
      </c>
      <c r="K85" s="20">
        <v>20000</v>
      </c>
      <c r="L85" s="18">
        <v>0</v>
      </c>
      <c r="M85" s="19"/>
      <c r="N85" s="20" t="s">
        <v>188</v>
      </c>
    </row>
    <row r="86" spans="1:14" s="11" customFormat="1" ht="11.25">
      <c r="A86" s="12"/>
      <c r="B86" s="13"/>
      <c r="C86" s="14"/>
      <c r="D86" s="27" t="s">
        <v>20</v>
      </c>
      <c r="E86" s="28">
        <f aca="true" t="shared" si="31" ref="E86:M86">SUM(0)</f>
        <v>0</v>
      </c>
      <c r="F86" s="29">
        <f t="shared" si="31"/>
        <v>0</v>
      </c>
      <c r="G86" s="85">
        <f t="shared" si="31"/>
        <v>0</v>
      </c>
      <c r="H86" s="89">
        <f t="shared" si="31"/>
        <v>0</v>
      </c>
      <c r="I86" s="29">
        <f t="shared" si="31"/>
        <v>0</v>
      </c>
      <c r="J86" s="90">
        <f t="shared" si="31"/>
        <v>0</v>
      </c>
      <c r="K86" s="32">
        <f t="shared" si="31"/>
        <v>0</v>
      </c>
      <c r="L86" s="30">
        <f t="shared" si="31"/>
        <v>0</v>
      </c>
      <c r="M86" s="31">
        <f t="shared" si="31"/>
        <v>0</v>
      </c>
      <c r="N86" s="32" t="s">
        <v>80</v>
      </c>
    </row>
    <row r="87" spans="1:14" s="11" customFormat="1" ht="11.25">
      <c r="A87" s="12"/>
      <c r="B87" s="13"/>
      <c r="C87" s="14"/>
      <c r="D87" s="27" t="s">
        <v>21</v>
      </c>
      <c r="E87" s="28">
        <f aca="true" t="shared" si="32" ref="E87:M87">SUM(E85)</f>
        <v>0</v>
      </c>
      <c r="F87" s="29">
        <f>SUM(F85)</f>
        <v>0</v>
      </c>
      <c r="G87" s="85">
        <f>SUM(G85)</f>
        <v>0</v>
      </c>
      <c r="H87" s="89">
        <f t="shared" si="32"/>
        <v>25000</v>
      </c>
      <c r="I87" s="29">
        <f>SUM(I85)</f>
        <v>0</v>
      </c>
      <c r="J87" s="90">
        <f>SUM(J85)</f>
        <v>25000</v>
      </c>
      <c r="K87" s="32">
        <f t="shared" si="32"/>
        <v>20000</v>
      </c>
      <c r="L87" s="30">
        <f t="shared" si="32"/>
        <v>0</v>
      </c>
      <c r="M87" s="31">
        <f t="shared" si="32"/>
        <v>0</v>
      </c>
      <c r="N87" s="32"/>
    </row>
    <row r="88" spans="1:14" s="11" customFormat="1" ht="11.25">
      <c r="A88" s="12"/>
      <c r="B88" s="13"/>
      <c r="C88" s="14"/>
      <c r="D88" s="27" t="s">
        <v>22</v>
      </c>
      <c r="E88" s="28">
        <f aca="true" t="shared" si="33" ref="E88:M88">E86-E87</f>
        <v>0</v>
      </c>
      <c r="F88" s="29">
        <f>F86-F87</f>
        <v>0</v>
      </c>
      <c r="G88" s="85">
        <f>G86-G87</f>
        <v>0</v>
      </c>
      <c r="H88" s="89">
        <f t="shared" si="33"/>
        <v>-25000</v>
      </c>
      <c r="I88" s="29">
        <f>I86-I87</f>
        <v>0</v>
      </c>
      <c r="J88" s="90">
        <f>J86-J87</f>
        <v>-25000</v>
      </c>
      <c r="K88" s="32">
        <f t="shared" si="33"/>
        <v>-20000</v>
      </c>
      <c r="L88" s="30">
        <f t="shared" si="33"/>
        <v>0</v>
      </c>
      <c r="M88" s="31">
        <f t="shared" si="33"/>
        <v>0</v>
      </c>
      <c r="N88" s="32"/>
    </row>
    <row r="89" spans="1:14" s="11" customFormat="1" ht="13.5" customHeight="1">
      <c r="A89" s="21" t="s">
        <v>81</v>
      </c>
      <c r="B89" s="22"/>
      <c r="C89" s="23"/>
      <c r="D89" s="24" t="s">
        <v>82</v>
      </c>
      <c r="E89" s="28"/>
      <c r="F89" s="29"/>
      <c r="G89" s="85"/>
      <c r="H89" s="89"/>
      <c r="I89" s="29"/>
      <c r="J89" s="90"/>
      <c r="K89" s="32"/>
      <c r="L89" s="30"/>
      <c r="M89" s="31"/>
      <c r="N89" s="32"/>
    </row>
    <row r="90" spans="1:14" s="11" customFormat="1" ht="11.25">
      <c r="A90" s="12">
        <v>560</v>
      </c>
      <c r="B90" s="13"/>
      <c r="C90" s="14">
        <v>9500</v>
      </c>
      <c r="D90" s="15" t="s">
        <v>83</v>
      </c>
      <c r="E90" s="16">
        <v>0</v>
      </c>
      <c r="F90" s="17"/>
      <c r="G90" s="38">
        <f>SUM(E90:F90)</f>
        <v>0</v>
      </c>
      <c r="H90" s="91">
        <v>0</v>
      </c>
      <c r="I90" s="17"/>
      <c r="J90" s="102">
        <f>SUM(H90:I90)</f>
        <v>0</v>
      </c>
      <c r="K90" s="41">
        <v>80000</v>
      </c>
      <c r="L90" s="42">
        <v>0</v>
      </c>
      <c r="M90" s="43">
        <v>0</v>
      </c>
      <c r="N90" s="32"/>
    </row>
    <row r="91" spans="1:14" s="11" customFormat="1" ht="11.25">
      <c r="A91" s="12">
        <v>560</v>
      </c>
      <c r="B91" s="13" t="s">
        <v>39</v>
      </c>
      <c r="C91" s="14">
        <v>9500</v>
      </c>
      <c r="D91" s="15" t="s">
        <v>84</v>
      </c>
      <c r="E91" s="16">
        <v>0</v>
      </c>
      <c r="F91" s="17">
        <v>0</v>
      </c>
      <c r="G91" s="38">
        <v>0</v>
      </c>
      <c r="H91" s="91">
        <v>0</v>
      </c>
      <c r="I91" s="17"/>
      <c r="J91" s="102">
        <f>SUM(H91:I91)</f>
        <v>0</v>
      </c>
      <c r="K91" s="41">
        <v>200000</v>
      </c>
      <c r="L91" s="42">
        <v>0</v>
      </c>
      <c r="M91" s="43">
        <v>0</v>
      </c>
      <c r="N91" s="32"/>
    </row>
    <row r="92" spans="1:14" s="11" customFormat="1" ht="11.25">
      <c r="A92" s="12"/>
      <c r="B92" s="13"/>
      <c r="C92" s="14"/>
      <c r="D92" s="27" t="s">
        <v>20</v>
      </c>
      <c r="E92" s="28">
        <f aca="true" t="shared" si="34" ref="E92:M92">SUM(0)</f>
        <v>0</v>
      </c>
      <c r="F92" s="29">
        <f t="shared" si="34"/>
        <v>0</v>
      </c>
      <c r="G92" s="85">
        <f t="shared" si="34"/>
        <v>0</v>
      </c>
      <c r="H92" s="89">
        <f t="shared" si="34"/>
        <v>0</v>
      </c>
      <c r="I92" s="29">
        <f t="shared" si="34"/>
        <v>0</v>
      </c>
      <c r="J92" s="90">
        <f t="shared" si="34"/>
        <v>0</v>
      </c>
      <c r="K92" s="32">
        <f t="shared" si="34"/>
        <v>0</v>
      </c>
      <c r="L92" s="30">
        <f t="shared" si="34"/>
        <v>0</v>
      </c>
      <c r="M92" s="31">
        <f t="shared" si="34"/>
        <v>0</v>
      </c>
      <c r="N92" s="32"/>
    </row>
    <row r="93" spans="1:14" s="11" customFormat="1" ht="11.25">
      <c r="A93" s="12"/>
      <c r="B93" s="13"/>
      <c r="C93" s="14"/>
      <c r="D93" s="27" t="s">
        <v>21</v>
      </c>
      <c r="E93" s="28">
        <f aca="true" t="shared" si="35" ref="E93:M93">SUM(E90:E91)</f>
        <v>0</v>
      </c>
      <c r="F93" s="29">
        <f t="shared" si="35"/>
        <v>0</v>
      </c>
      <c r="G93" s="85">
        <f t="shared" si="35"/>
        <v>0</v>
      </c>
      <c r="H93" s="89">
        <f t="shared" si="35"/>
        <v>0</v>
      </c>
      <c r="I93" s="29">
        <f>SUM(I90:I91)</f>
        <v>0</v>
      </c>
      <c r="J93" s="90">
        <f>SUM(J90:J91)</f>
        <v>0</v>
      </c>
      <c r="K93" s="32">
        <f t="shared" si="35"/>
        <v>280000</v>
      </c>
      <c r="L93" s="30">
        <f t="shared" si="35"/>
        <v>0</v>
      </c>
      <c r="M93" s="31">
        <f t="shared" si="35"/>
        <v>0</v>
      </c>
      <c r="N93" s="32"/>
    </row>
    <row r="94" spans="1:14" s="11" customFormat="1" ht="11.25">
      <c r="A94" s="12"/>
      <c r="B94" s="13"/>
      <c r="C94" s="14"/>
      <c r="D94" s="27" t="s">
        <v>22</v>
      </c>
      <c r="E94" s="28">
        <f aca="true" t="shared" si="36" ref="E94:M94">E92-E93</f>
        <v>0</v>
      </c>
      <c r="F94" s="29">
        <f>F92-F93</f>
        <v>0</v>
      </c>
      <c r="G94" s="85">
        <f>G92-G93</f>
        <v>0</v>
      </c>
      <c r="H94" s="89">
        <f t="shared" si="36"/>
        <v>0</v>
      </c>
      <c r="I94" s="29">
        <f>I92-I93</f>
        <v>0</v>
      </c>
      <c r="J94" s="90">
        <f>J92-J93</f>
        <v>0</v>
      </c>
      <c r="K94" s="32">
        <f t="shared" si="36"/>
        <v>-280000</v>
      </c>
      <c r="L94" s="30">
        <f t="shared" si="36"/>
        <v>0</v>
      </c>
      <c r="M94" s="31">
        <f t="shared" si="36"/>
        <v>0</v>
      </c>
      <c r="N94" s="32"/>
    </row>
    <row r="95" spans="1:14" s="11" customFormat="1" ht="13.5" customHeight="1">
      <c r="A95" s="21" t="s">
        <v>85</v>
      </c>
      <c r="B95" s="22"/>
      <c r="C95" s="23"/>
      <c r="D95" s="24" t="s">
        <v>86</v>
      </c>
      <c r="E95" s="28"/>
      <c r="F95" s="29"/>
      <c r="G95" s="85"/>
      <c r="H95" s="89"/>
      <c r="I95" s="29"/>
      <c r="J95" s="90"/>
      <c r="K95" s="32"/>
      <c r="L95" s="30"/>
      <c r="M95" s="31"/>
      <c r="N95" s="32"/>
    </row>
    <row r="96" spans="1:14" s="11" customFormat="1" ht="11.25">
      <c r="A96" s="12">
        <v>580</v>
      </c>
      <c r="B96" s="13"/>
      <c r="C96" s="14">
        <v>9350</v>
      </c>
      <c r="D96" s="15" t="s">
        <v>87</v>
      </c>
      <c r="E96" s="16">
        <v>0</v>
      </c>
      <c r="F96" s="17"/>
      <c r="G96" s="38">
        <f>SUM(E96:F96)</f>
        <v>0</v>
      </c>
      <c r="H96" s="91">
        <v>5000</v>
      </c>
      <c r="I96" s="17"/>
      <c r="J96" s="102">
        <f>SUM(H96:I96)</f>
        <v>5000</v>
      </c>
      <c r="K96" s="41">
        <v>5000</v>
      </c>
      <c r="L96" s="42">
        <v>5000</v>
      </c>
      <c r="M96" s="43">
        <v>5000</v>
      </c>
      <c r="N96" s="41"/>
    </row>
    <row r="97" spans="1:14" s="11" customFormat="1" ht="11.25">
      <c r="A97" s="12" t="s">
        <v>88</v>
      </c>
      <c r="B97" s="13"/>
      <c r="C97" s="14" t="s">
        <v>89</v>
      </c>
      <c r="D97" s="15" t="s">
        <v>90</v>
      </c>
      <c r="E97" s="25">
        <v>1500</v>
      </c>
      <c r="F97" s="26"/>
      <c r="G97" s="38">
        <f>SUM(E97:F97)</f>
        <v>1500</v>
      </c>
      <c r="H97" s="88">
        <v>0</v>
      </c>
      <c r="I97" s="26"/>
      <c r="J97" s="102">
        <f>SUM(H97:I97)</f>
        <v>0</v>
      </c>
      <c r="K97" s="20">
        <v>0</v>
      </c>
      <c r="L97" s="18">
        <v>0</v>
      </c>
      <c r="M97" s="19"/>
      <c r="N97" s="20"/>
    </row>
    <row r="98" spans="1:14" s="11" customFormat="1" ht="11.25">
      <c r="A98" s="12"/>
      <c r="B98" s="13"/>
      <c r="C98" s="14"/>
      <c r="D98" s="27" t="s">
        <v>20</v>
      </c>
      <c r="E98" s="28">
        <f aca="true" t="shared" si="37" ref="E98:M98">SUM(0)</f>
        <v>0</v>
      </c>
      <c r="F98" s="29">
        <f t="shared" si="37"/>
        <v>0</v>
      </c>
      <c r="G98" s="85">
        <f t="shared" si="37"/>
        <v>0</v>
      </c>
      <c r="H98" s="89">
        <f t="shared" si="37"/>
        <v>0</v>
      </c>
      <c r="I98" s="29">
        <f t="shared" si="37"/>
        <v>0</v>
      </c>
      <c r="J98" s="90">
        <f t="shared" si="37"/>
        <v>0</v>
      </c>
      <c r="K98" s="32">
        <f t="shared" si="37"/>
        <v>0</v>
      </c>
      <c r="L98" s="30">
        <f t="shared" si="37"/>
        <v>0</v>
      </c>
      <c r="M98" s="31">
        <f t="shared" si="37"/>
        <v>0</v>
      </c>
      <c r="N98" s="32"/>
    </row>
    <row r="99" spans="1:14" s="11" customFormat="1" ht="11.25">
      <c r="A99" s="12"/>
      <c r="B99" s="13"/>
      <c r="C99" s="14"/>
      <c r="D99" s="27" t="s">
        <v>21</v>
      </c>
      <c r="E99" s="28">
        <f aca="true" t="shared" si="38" ref="E99:M99">SUM(E96:E97)</f>
        <v>1500</v>
      </c>
      <c r="F99" s="29">
        <f>SUM(F96:F97)</f>
        <v>0</v>
      </c>
      <c r="G99" s="85">
        <f>SUM(G96:G97)</f>
        <v>1500</v>
      </c>
      <c r="H99" s="89">
        <f t="shared" si="38"/>
        <v>5000</v>
      </c>
      <c r="I99" s="29">
        <f>SUM(I96:I97)</f>
        <v>0</v>
      </c>
      <c r="J99" s="90">
        <f>SUM(J96:J97)</f>
        <v>5000</v>
      </c>
      <c r="K99" s="32">
        <f t="shared" si="38"/>
        <v>5000</v>
      </c>
      <c r="L99" s="30">
        <f t="shared" si="38"/>
        <v>5000</v>
      </c>
      <c r="M99" s="31">
        <f t="shared" si="38"/>
        <v>5000</v>
      </c>
      <c r="N99" s="32"/>
    </row>
    <row r="100" spans="1:14" s="11" customFormat="1" ht="11.25">
      <c r="A100" s="12"/>
      <c r="B100" s="13"/>
      <c r="C100" s="14"/>
      <c r="D100" s="27" t="s">
        <v>22</v>
      </c>
      <c r="E100" s="28">
        <f aca="true" t="shared" si="39" ref="E100:M100">E98-E99</f>
        <v>-1500</v>
      </c>
      <c r="F100" s="29">
        <f>F98-F99</f>
        <v>0</v>
      </c>
      <c r="G100" s="85">
        <f>G98-G99</f>
        <v>-1500</v>
      </c>
      <c r="H100" s="89">
        <f t="shared" si="39"/>
        <v>-5000</v>
      </c>
      <c r="I100" s="29">
        <f>I98-I99</f>
        <v>0</v>
      </c>
      <c r="J100" s="90">
        <f>J98-J99</f>
        <v>-5000</v>
      </c>
      <c r="K100" s="32">
        <f t="shared" si="39"/>
        <v>-5000</v>
      </c>
      <c r="L100" s="30">
        <f t="shared" si="39"/>
        <v>-5000</v>
      </c>
      <c r="M100" s="31">
        <f t="shared" si="39"/>
        <v>-5000</v>
      </c>
      <c r="N100" s="32"/>
    </row>
    <row r="101" spans="1:14" s="11" customFormat="1" ht="13.5" customHeight="1">
      <c r="A101" s="21" t="s">
        <v>91</v>
      </c>
      <c r="B101" s="22"/>
      <c r="C101" s="23"/>
      <c r="D101" s="24" t="s">
        <v>92</v>
      </c>
      <c r="E101" s="28"/>
      <c r="F101" s="29"/>
      <c r="G101" s="85"/>
      <c r="H101" s="89"/>
      <c r="I101" s="29"/>
      <c r="J101" s="90"/>
      <c r="K101" s="32"/>
      <c r="L101" s="30"/>
      <c r="M101" s="31"/>
      <c r="N101" s="32"/>
    </row>
    <row r="102" spans="1:14" s="11" customFormat="1" ht="11.25">
      <c r="A102" s="12" t="s">
        <v>93</v>
      </c>
      <c r="B102" s="13">
        <v>0</v>
      </c>
      <c r="C102" s="14" t="s">
        <v>94</v>
      </c>
      <c r="D102" s="15" t="s">
        <v>95</v>
      </c>
      <c r="E102" s="16">
        <v>50000</v>
      </c>
      <c r="F102" s="17">
        <v>123700</v>
      </c>
      <c r="G102" s="38">
        <f>SUM(E102:F102)</f>
        <v>173700</v>
      </c>
      <c r="H102" s="91">
        <v>50000</v>
      </c>
      <c r="I102" s="17"/>
      <c r="J102" s="102">
        <f>SUM(H102:I102)</f>
        <v>50000</v>
      </c>
      <c r="K102" s="41">
        <v>45000</v>
      </c>
      <c r="L102" s="42">
        <v>0</v>
      </c>
      <c r="M102" s="43"/>
      <c r="N102" s="41"/>
    </row>
    <row r="103" spans="1:14" s="11" customFormat="1" ht="11.25">
      <c r="A103" s="12" t="s">
        <v>93</v>
      </c>
      <c r="B103" s="13">
        <v>0</v>
      </c>
      <c r="C103" s="14" t="s">
        <v>96</v>
      </c>
      <c r="D103" s="15" t="s">
        <v>97</v>
      </c>
      <c r="E103" s="16">
        <v>30000</v>
      </c>
      <c r="F103" s="17"/>
      <c r="G103" s="38">
        <f>SUM(E103:F103)</f>
        <v>30000</v>
      </c>
      <c r="H103" s="91">
        <v>30000</v>
      </c>
      <c r="I103" s="17"/>
      <c r="J103" s="102">
        <f>SUM(H103:I103)</f>
        <v>30000</v>
      </c>
      <c r="K103" s="41">
        <v>30000</v>
      </c>
      <c r="L103" s="42">
        <v>30000</v>
      </c>
      <c r="M103" s="43">
        <v>30000</v>
      </c>
      <c r="N103" s="41"/>
    </row>
    <row r="104" spans="1:14" s="11" customFormat="1" ht="11.25">
      <c r="A104" s="12" t="s">
        <v>93</v>
      </c>
      <c r="B104" s="13">
        <v>3</v>
      </c>
      <c r="C104" s="14" t="s">
        <v>98</v>
      </c>
      <c r="D104" s="15" t="s">
        <v>99</v>
      </c>
      <c r="E104" s="16">
        <v>110000</v>
      </c>
      <c r="F104" s="17"/>
      <c r="G104" s="38">
        <f>SUM(E104:F104)</f>
        <v>110000</v>
      </c>
      <c r="H104" s="91">
        <v>220000</v>
      </c>
      <c r="I104" s="17"/>
      <c r="J104" s="102">
        <f>SUM(H104:I104)</f>
        <v>220000</v>
      </c>
      <c r="K104" s="41">
        <v>340000</v>
      </c>
      <c r="L104" s="42">
        <v>300000</v>
      </c>
      <c r="M104" s="43">
        <v>260000</v>
      </c>
      <c r="N104" s="41"/>
    </row>
    <row r="105" spans="1:13" s="11" customFormat="1" ht="11.25">
      <c r="A105" s="12" t="s">
        <v>93</v>
      </c>
      <c r="B105" s="13">
        <v>3</v>
      </c>
      <c r="C105" s="14" t="s">
        <v>44</v>
      </c>
      <c r="D105" s="15" t="s">
        <v>100</v>
      </c>
      <c r="E105" s="16">
        <v>110000</v>
      </c>
      <c r="F105" s="17"/>
      <c r="G105" s="38">
        <f>SUM(E105:F105)</f>
        <v>110000</v>
      </c>
      <c r="H105" s="91">
        <v>220000</v>
      </c>
      <c r="I105" s="17"/>
      <c r="J105" s="102">
        <f>SUM(H105:I105)</f>
        <v>220000</v>
      </c>
      <c r="K105" s="41">
        <v>340000</v>
      </c>
      <c r="L105" s="42">
        <v>300000</v>
      </c>
      <c r="M105" s="43">
        <v>260000</v>
      </c>
    </row>
    <row r="106" spans="1:13" s="11" customFormat="1" ht="11.25">
      <c r="A106" s="12" t="s">
        <v>93</v>
      </c>
      <c r="B106" s="13">
        <v>3</v>
      </c>
      <c r="C106" s="14" t="s">
        <v>101</v>
      </c>
      <c r="D106" s="15" t="s">
        <v>102</v>
      </c>
      <c r="E106" s="16">
        <v>334600</v>
      </c>
      <c r="F106" s="17"/>
      <c r="G106" s="38">
        <f>SUM(E106:F106)</f>
        <v>334600</v>
      </c>
      <c r="H106" s="91">
        <v>547500</v>
      </c>
      <c r="I106" s="17"/>
      <c r="J106" s="102">
        <f>SUM(H106:I106)</f>
        <v>547500</v>
      </c>
      <c r="K106" s="41">
        <v>1034100</v>
      </c>
      <c r="L106" s="42">
        <v>912500</v>
      </c>
      <c r="M106" s="43">
        <v>790800</v>
      </c>
    </row>
    <row r="107" spans="1:13" s="11" customFormat="1" ht="11.25">
      <c r="A107" s="12"/>
      <c r="B107" s="13"/>
      <c r="C107" s="14"/>
      <c r="D107" s="27" t="s">
        <v>20</v>
      </c>
      <c r="E107" s="28" t="e">
        <f>SUM(E102+#REF!+#REF!+#REF!+#REF!+E104+E105)</f>
        <v>#REF!</v>
      </c>
      <c r="F107" s="29" t="e">
        <f>SUM(F102+#REF!+#REF!+#REF!+#REF!+F104+F105)</f>
        <v>#REF!</v>
      </c>
      <c r="G107" s="85">
        <f aca="true" t="shared" si="40" ref="G107:M107">SUM(G102+G104+G105)</f>
        <v>393700</v>
      </c>
      <c r="H107" s="89">
        <f t="shared" si="40"/>
        <v>490000</v>
      </c>
      <c r="I107" s="29">
        <f t="shared" si="40"/>
        <v>0</v>
      </c>
      <c r="J107" s="90">
        <f t="shared" si="40"/>
        <v>490000</v>
      </c>
      <c r="K107" s="32">
        <f t="shared" si="40"/>
        <v>725000</v>
      </c>
      <c r="L107" s="30">
        <f t="shared" si="40"/>
        <v>600000</v>
      </c>
      <c r="M107" s="31">
        <f t="shared" si="40"/>
        <v>520000</v>
      </c>
    </row>
    <row r="108" spans="1:13" s="11" customFormat="1" ht="11.25">
      <c r="A108" s="12"/>
      <c r="B108" s="13"/>
      <c r="C108" s="14"/>
      <c r="D108" s="27" t="s">
        <v>21</v>
      </c>
      <c r="E108" s="28" t="e">
        <f>SUM(#REF!+E103+#REF!+#REF!+E106)</f>
        <v>#REF!</v>
      </c>
      <c r="F108" s="29" t="e">
        <f>SUM(#REF!+F103+#REF!+#REF!+F106)</f>
        <v>#REF!</v>
      </c>
      <c r="G108" s="85">
        <f>SUM(G103+G106)</f>
        <v>364600</v>
      </c>
      <c r="H108" s="89">
        <f>SUM(H103+H106)</f>
        <v>577500</v>
      </c>
      <c r="I108" s="29">
        <f>SUM(I103+I106)</f>
        <v>0</v>
      </c>
      <c r="J108" s="90">
        <f>SUM(J103+J106)</f>
        <v>577500</v>
      </c>
      <c r="K108" s="32">
        <f>SUM(+K103+K106)</f>
        <v>1064100</v>
      </c>
      <c r="L108" s="30">
        <f>SUM(L103+L106)</f>
        <v>942500</v>
      </c>
      <c r="M108" s="31">
        <f>SUM(M103+M106)</f>
        <v>820800</v>
      </c>
    </row>
    <row r="109" spans="1:13" s="11" customFormat="1" ht="11.25">
      <c r="A109" s="12"/>
      <c r="B109" s="13"/>
      <c r="C109" s="14"/>
      <c r="D109" s="27" t="s">
        <v>22</v>
      </c>
      <c r="E109" s="28" t="e">
        <f aca="true" t="shared" si="41" ref="E109:M109">E107-E108</f>
        <v>#REF!</v>
      </c>
      <c r="F109" s="29" t="e">
        <f>F107-F108</f>
        <v>#REF!</v>
      </c>
      <c r="G109" s="85">
        <f>G107-G108</f>
        <v>29100</v>
      </c>
      <c r="H109" s="89">
        <f t="shared" si="41"/>
        <v>-87500</v>
      </c>
      <c r="I109" s="29">
        <f>I107-I108</f>
        <v>0</v>
      </c>
      <c r="J109" s="90">
        <f>J107-J108</f>
        <v>-87500</v>
      </c>
      <c r="K109" s="32">
        <f t="shared" si="41"/>
        <v>-339100</v>
      </c>
      <c r="L109" s="30">
        <f t="shared" si="41"/>
        <v>-342500</v>
      </c>
      <c r="M109" s="31">
        <f t="shared" si="41"/>
        <v>-300800</v>
      </c>
    </row>
    <row r="110" spans="1:13" s="11" customFormat="1" ht="12.75">
      <c r="A110" s="21" t="s">
        <v>196</v>
      </c>
      <c r="B110" s="22"/>
      <c r="C110" s="23"/>
      <c r="D110" s="24" t="s">
        <v>197</v>
      </c>
      <c r="E110" s="28"/>
      <c r="F110" s="29"/>
      <c r="G110" s="85"/>
      <c r="H110" s="89"/>
      <c r="I110" s="29"/>
      <c r="J110" s="90"/>
      <c r="K110" s="32"/>
      <c r="L110" s="30"/>
      <c r="M110" s="31"/>
    </row>
    <row r="111" spans="1:13" s="11" customFormat="1" ht="11.25">
      <c r="A111" s="12">
        <v>615</v>
      </c>
      <c r="B111" s="13">
        <v>3</v>
      </c>
      <c r="C111" s="14">
        <v>3675</v>
      </c>
      <c r="D111" s="15" t="s">
        <v>198</v>
      </c>
      <c r="E111" s="16">
        <v>23700</v>
      </c>
      <c r="F111" s="17"/>
      <c r="G111" s="38">
        <v>0</v>
      </c>
      <c r="H111" s="91">
        <v>37000</v>
      </c>
      <c r="I111" s="17">
        <v>0</v>
      </c>
      <c r="J111" s="102">
        <f>SUM(H111:I111)</f>
        <v>37000</v>
      </c>
      <c r="K111" s="41">
        <v>0</v>
      </c>
      <c r="L111" s="42">
        <v>0</v>
      </c>
      <c r="M111" s="43">
        <v>0</v>
      </c>
    </row>
    <row r="112" spans="1:13" s="11" customFormat="1" ht="11.25">
      <c r="A112" s="12">
        <v>615</v>
      </c>
      <c r="B112" s="13">
        <v>3</v>
      </c>
      <c r="C112" s="14">
        <v>9400</v>
      </c>
      <c r="D112" s="15" t="s">
        <v>208</v>
      </c>
      <c r="E112" s="16">
        <v>12000</v>
      </c>
      <c r="F112" s="17"/>
      <c r="G112" s="38">
        <v>0</v>
      </c>
      <c r="H112" s="91">
        <v>40000</v>
      </c>
      <c r="I112" s="17">
        <v>0</v>
      </c>
      <c r="J112" s="102">
        <f>SUM(H112:I112)</f>
        <v>40000</v>
      </c>
      <c r="K112" s="41">
        <v>0</v>
      </c>
      <c r="L112" s="42">
        <v>0</v>
      </c>
      <c r="M112" s="43">
        <v>0</v>
      </c>
    </row>
    <row r="113" spans="1:13" s="11" customFormat="1" ht="11.25">
      <c r="A113" s="12"/>
      <c r="B113" s="13"/>
      <c r="C113" s="14"/>
      <c r="D113" s="27" t="s">
        <v>20</v>
      </c>
      <c r="E113" s="28">
        <f aca="true" t="shared" si="42" ref="E113:M113">SUM(E111:E111)</f>
        <v>23700</v>
      </c>
      <c r="F113" s="29">
        <f t="shared" si="42"/>
        <v>0</v>
      </c>
      <c r="G113" s="85">
        <f t="shared" si="42"/>
        <v>0</v>
      </c>
      <c r="H113" s="89">
        <f t="shared" si="42"/>
        <v>37000</v>
      </c>
      <c r="I113" s="29">
        <f t="shared" si="42"/>
        <v>0</v>
      </c>
      <c r="J113" s="90">
        <f t="shared" si="42"/>
        <v>37000</v>
      </c>
      <c r="K113" s="32">
        <f t="shared" si="42"/>
        <v>0</v>
      </c>
      <c r="L113" s="30">
        <f t="shared" si="42"/>
        <v>0</v>
      </c>
      <c r="M113" s="31">
        <f t="shared" si="42"/>
        <v>0</v>
      </c>
    </row>
    <row r="114" spans="1:13" s="11" customFormat="1" ht="11.25">
      <c r="A114" s="12"/>
      <c r="B114" s="13"/>
      <c r="C114" s="14"/>
      <c r="D114" s="27" t="s">
        <v>21</v>
      </c>
      <c r="E114" s="28">
        <f aca="true" t="shared" si="43" ref="E114:M114">SUM(E112)</f>
        <v>12000</v>
      </c>
      <c r="F114" s="29">
        <f t="shared" si="43"/>
        <v>0</v>
      </c>
      <c r="G114" s="85">
        <f t="shared" si="43"/>
        <v>0</v>
      </c>
      <c r="H114" s="89">
        <f t="shared" si="43"/>
        <v>40000</v>
      </c>
      <c r="I114" s="29">
        <f t="shared" si="43"/>
        <v>0</v>
      </c>
      <c r="J114" s="90">
        <f t="shared" si="43"/>
        <v>40000</v>
      </c>
      <c r="K114" s="32">
        <f t="shared" si="43"/>
        <v>0</v>
      </c>
      <c r="L114" s="30">
        <f t="shared" si="43"/>
        <v>0</v>
      </c>
      <c r="M114" s="31">
        <f t="shared" si="43"/>
        <v>0</v>
      </c>
    </row>
    <row r="115" spans="1:13" s="11" customFormat="1" ht="11.25">
      <c r="A115" s="12"/>
      <c r="B115" s="13"/>
      <c r="C115" s="14"/>
      <c r="D115" s="27" t="s">
        <v>22</v>
      </c>
      <c r="E115" s="28">
        <f aca="true" t="shared" si="44" ref="E115:M115">E113-E114</f>
        <v>11700</v>
      </c>
      <c r="F115" s="29">
        <f t="shared" si="44"/>
        <v>0</v>
      </c>
      <c r="G115" s="85">
        <f t="shared" si="44"/>
        <v>0</v>
      </c>
      <c r="H115" s="89">
        <f t="shared" si="44"/>
        <v>-3000</v>
      </c>
      <c r="I115" s="29">
        <f t="shared" si="44"/>
        <v>0</v>
      </c>
      <c r="J115" s="90">
        <f t="shared" si="44"/>
        <v>-3000</v>
      </c>
      <c r="K115" s="32">
        <f t="shared" si="44"/>
        <v>0</v>
      </c>
      <c r="L115" s="30">
        <f t="shared" si="44"/>
        <v>0</v>
      </c>
      <c r="M115" s="31">
        <f t="shared" si="44"/>
        <v>0</v>
      </c>
    </row>
    <row r="116" spans="1:14" s="11" customFormat="1" ht="13.5" customHeight="1">
      <c r="A116" s="21" t="s">
        <v>103</v>
      </c>
      <c r="B116" s="22"/>
      <c r="C116" s="23"/>
      <c r="D116" s="24" t="s">
        <v>104</v>
      </c>
      <c r="E116" s="28"/>
      <c r="F116" s="29"/>
      <c r="G116" s="85"/>
      <c r="H116" s="89"/>
      <c r="I116" s="29"/>
      <c r="J116" s="90"/>
      <c r="K116" s="32"/>
      <c r="L116" s="30"/>
      <c r="M116" s="31"/>
      <c r="N116" s="32"/>
    </row>
    <row r="117" spans="1:14" s="11" customFormat="1" ht="11.25">
      <c r="A117" s="12" t="s">
        <v>105</v>
      </c>
      <c r="B117" s="13"/>
      <c r="C117" s="14" t="s">
        <v>106</v>
      </c>
      <c r="D117" s="15" t="s">
        <v>107</v>
      </c>
      <c r="E117" s="16">
        <v>23700</v>
      </c>
      <c r="F117" s="17"/>
      <c r="G117" s="38">
        <f>SUM(E117:F117)</f>
        <v>23700</v>
      </c>
      <c r="H117" s="91">
        <v>23700</v>
      </c>
      <c r="I117" s="17"/>
      <c r="J117" s="102">
        <f>SUM(H117:I117)</f>
        <v>23700</v>
      </c>
      <c r="K117" s="41">
        <v>23700</v>
      </c>
      <c r="L117" s="42">
        <v>23700</v>
      </c>
      <c r="M117" s="43">
        <v>23700</v>
      </c>
      <c r="N117" s="41"/>
    </row>
    <row r="118" spans="1:17" s="11" customFormat="1" ht="11.25">
      <c r="A118" s="12" t="s">
        <v>105</v>
      </c>
      <c r="B118" s="13"/>
      <c r="C118" s="14" t="s">
        <v>108</v>
      </c>
      <c r="D118" s="15" t="s">
        <v>109</v>
      </c>
      <c r="E118" s="16">
        <v>12000</v>
      </c>
      <c r="F118" s="17"/>
      <c r="G118" s="38">
        <f>SUM(E118:F118)</f>
        <v>12000</v>
      </c>
      <c r="H118" s="91">
        <v>12000</v>
      </c>
      <c r="I118" s="17"/>
      <c r="J118" s="102">
        <f>SUM(H118:I118)</f>
        <v>12000</v>
      </c>
      <c r="K118" s="41">
        <v>12000</v>
      </c>
      <c r="L118" s="42">
        <v>12000</v>
      </c>
      <c r="M118" s="43">
        <v>12000</v>
      </c>
      <c r="N118" s="41"/>
      <c r="Q118" s="11">
        <v>345000</v>
      </c>
    </row>
    <row r="119" spans="1:17" s="11" customFormat="1" ht="11.25">
      <c r="A119" s="12"/>
      <c r="B119" s="13"/>
      <c r="C119" s="14"/>
      <c r="D119" s="27" t="s">
        <v>20</v>
      </c>
      <c r="E119" s="28">
        <f aca="true" t="shared" si="45" ref="E119:M119">SUM(E117:E117)</f>
        <v>23700</v>
      </c>
      <c r="F119" s="29">
        <f t="shared" si="45"/>
        <v>0</v>
      </c>
      <c r="G119" s="85">
        <f t="shared" si="45"/>
        <v>23700</v>
      </c>
      <c r="H119" s="89">
        <f t="shared" si="45"/>
        <v>23700</v>
      </c>
      <c r="I119" s="29">
        <f>SUM(I117:I117)</f>
        <v>0</v>
      </c>
      <c r="J119" s="90">
        <f>SUM(J117:J117)</f>
        <v>23700</v>
      </c>
      <c r="K119" s="32">
        <f>SUM(K117:K117)</f>
        <v>23700</v>
      </c>
      <c r="L119" s="30">
        <f t="shared" si="45"/>
        <v>23700</v>
      </c>
      <c r="M119" s="31">
        <f t="shared" si="45"/>
        <v>23700</v>
      </c>
      <c r="N119" s="32"/>
      <c r="Q119" s="11">
        <v>3579000</v>
      </c>
    </row>
    <row r="120" spans="1:17" s="11" customFormat="1" ht="11.25">
      <c r="A120" s="12"/>
      <c r="B120" s="13"/>
      <c r="C120" s="14"/>
      <c r="D120" s="27" t="s">
        <v>21</v>
      </c>
      <c r="E120" s="28">
        <f aca="true" t="shared" si="46" ref="E120:M120">SUM(E118)</f>
        <v>12000</v>
      </c>
      <c r="F120" s="29">
        <f>SUM(F118)</f>
        <v>0</v>
      </c>
      <c r="G120" s="85">
        <f>SUM(G118)</f>
        <v>12000</v>
      </c>
      <c r="H120" s="89">
        <f t="shared" si="46"/>
        <v>12000</v>
      </c>
      <c r="I120" s="29">
        <f>SUM(I118)</f>
        <v>0</v>
      </c>
      <c r="J120" s="90">
        <f>SUM(J118)</f>
        <v>12000</v>
      </c>
      <c r="K120" s="32">
        <f t="shared" si="46"/>
        <v>12000</v>
      </c>
      <c r="L120" s="30">
        <f t="shared" si="46"/>
        <v>12000</v>
      </c>
      <c r="M120" s="31">
        <f t="shared" si="46"/>
        <v>12000</v>
      </c>
      <c r="N120" s="32"/>
      <c r="Q120" s="11">
        <v>2941700</v>
      </c>
    </row>
    <row r="121" spans="1:17" s="11" customFormat="1" ht="11.25">
      <c r="A121" s="12"/>
      <c r="B121" s="13"/>
      <c r="C121" s="14"/>
      <c r="D121" s="27" t="s">
        <v>22</v>
      </c>
      <c r="E121" s="28">
        <f aca="true" t="shared" si="47" ref="E121:M121">E119-E120</f>
        <v>11700</v>
      </c>
      <c r="F121" s="29">
        <f>F119-F120</f>
        <v>0</v>
      </c>
      <c r="G121" s="85">
        <f>G119-G120</f>
        <v>11700</v>
      </c>
      <c r="H121" s="89">
        <f t="shared" si="47"/>
        <v>11700</v>
      </c>
      <c r="I121" s="29">
        <f>I119-I120</f>
        <v>0</v>
      </c>
      <c r="J121" s="90">
        <f>J119-J120</f>
        <v>11700</v>
      </c>
      <c r="K121" s="32">
        <f t="shared" si="47"/>
        <v>11700</v>
      </c>
      <c r="L121" s="30">
        <f t="shared" si="47"/>
        <v>11700</v>
      </c>
      <c r="M121" s="31">
        <f t="shared" si="47"/>
        <v>11700</v>
      </c>
      <c r="N121" s="32"/>
      <c r="Q121" s="138">
        <v>1519200</v>
      </c>
    </row>
    <row r="122" spans="1:17" s="11" customFormat="1" ht="13.5" customHeight="1">
      <c r="A122" s="21" t="s">
        <v>110</v>
      </c>
      <c r="B122" s="22"/>
      <c r="C122" s="23"/>
      <c r="D122" s="24" t="s">
        <v>111</v>
      </c>
      <c r="E122" s="28"/>
      <c r="F122" s="29"/>
      <c r="G122" s="85"/>
      <c r="H122" s="89"/>
      <c r="I122" s="29"/>
      <c r="J122" s="90"/>
      <c r="K122" s="32"/>
      <c r="L122" s="30"/>
      <c r="M122" s="31"/>
      <c r="N122" s="32"/>
      <c r="Q122" s="11">
        <v>3775.26</v>
      </c>
    </row>
    <row r="123" spans="1:17" s="11" customFormat="1" ht="11.25">
      <c r="A123" s="12" t="s">
        <v>112</v>
      </c>
      <c r="B123" s="13">
        <v>1</v>
      </c>
      <c r="C123" s="14" t="s">
        <v>113</v>
      </c>
      <c r="D123" s="15" t="s">
        <v>114</v>
      </c>
      <c r="E123" s="16">
        <v>0</v>
      </c>
      <c r="F123" s="17"/>
      <c r="G123" s="38">
        <f aca="true" t="shared" si="48" ref="G123:G148">SUM(E123:F123)</f>
        <v>0</v>
      </c>
      <c r="H123" s="91">
        <v>1200</v>
      </c>
      <c r="I123" s="17">
        <v>0</v>
      </c>
      <c r="J123" s="102">
        <f aca="true" t="shared" si="49" ref="J123:J155">SUM(H123:I123)</f>
        <v>1200</v>
      </c>
      <c r="K123" s="41">
        <v>0</v>
      </c>
      <c r="L123" s="42">
        <v>0</v>
      </c>
      <c r="M123" s="43">
        <v>0</v>
      </c>
      <c r="N123" s="41"/>
      <c r="Q123" s="11">
        <f>SUM(Q118:Q122)</f>
        <v>8388675.26</v>
      </c>
    </row>
    <row r="124" spans="1:14" s="11" customFormat="1" ht="11.25">
      <c r="A124" s="12">
        <v>630</v>
      </c>
      <c r="B124" s="13">
        <v>5</v>
      </c>
      <c r="C124" s="14">
        <v>9400</v>
      </c>
      <c r="D124" s="15" t="s">
        <v>115</v>
      </c>
      <c r="E124" s="16">
        <v>0</v>
      </c>
      <c r="F124" s="17"/>
      <c r="G124" s="38">
        <v>0</v>
      </c>
      <c r="H124" s="91">
        <v>20000</v>
      </c>
      <c r="I124" s="17"/>
      <c r="J124" s="102">
        <f t="shared" si="49"/>
        <v>20000</v>
      </c>
      <c r="K124" s="41">
        <v>0</v>
      </c>
      <c r="L124" s="42">
        <v>0</v>
      </c>
      <c r="M124" s="43">
        <v>0</v>
      </c>
      <c r="N124" s="41"/>
    </row>
    <row r="125" spans="1:14" s="11" customFormat="1" ht="11.25">
      <c r="A125" s="12" t="s">
        <v>112</v>
      </c>
      <c r="B125" s="13">
        <v>8</v>
      </c>
      <c r="C125" s="14" t="s">
        <v>116</v>
      </c>
      <c r="D125" s="15" t="s">
        <v>117</v>
      </c>
      <c r="E125" s="16">
        <v>10000</v>
      </c>
      <c r="F125" s="17"/>
      <c r="G125" s="38">
        <f t="shared" si="48"/>
        <v>10000</v>
      </c>
      <c r="H125" s="91">
        <v>287000</v>
      </c>
      <c r="I125" s="17">
        <v>0</v>
      </c>
      <c r="J125" s="102">
        <f>SUM(H125:I125)</f>
        <v>287000</v>
      </c>
      <c r="K125" s="41">
        <v>69000</v>
      </c>
      <c r="L125" s="42">
        <v>0</v>
      </c>
      <c r="M125" s="43"/>
      <c r="N125" s="41"/>
    </row>
    <row r="126" spans="1:14" s="11" customFormat="1" ht="9.75" customHeight="1">
      <c r="A126" s="12">
        <v>630</v>
      </c>
      <c r="B126" s="13">
        <v>20</v>
      </c>
      <c r="C126" s="14">
        <v>3610</v>
      </c>
      <c r="D126" s="15" t="s">
        <v>191</v>
      </c>
      <c r="E126" s="16"/>
      <c r="F126" s="17"/>
      <c r="G126" s="38">
        <v>0</v>
      </c>
      <c r="H126" s="91">
        <v>15100</v>
      </c>
      <c r="I126" s="17">
        <v>0</v>
      </c>
      <c r="J126" s="102">
        <f t="shared" si="49"/>
        <v>15100</v>
      </c>
      <c r="K126" s="41"/>
      <c r="L126" s="42"/>
      <c r="M126" s="43"/>
      <c r="N126" s="41"/>
    </row>
    <row r="127" spans="1:14" s="11" customFormat="1" ht="12" customHeight="1">
      <c r="A127" s="12">
        <v>630</v>
      </c>
      <c r="B127" s="13">
        <v>22</v>
      </c>
      <c r="C127" s="14">
        <v>9500</v>
      </c>
      <c r="D127" s="15" t="s">
        <v>118</v>
      </c>
      <c r="E127" s="16">
        <v>0</v>
      </c>
      <c r="F127" s="17"/>
      <c r="G127" s="38">
        <f t="shared" si="48"/>
        <v>0</v>
      </c>
      <c r="H127" s="91">
        <v>0</v>
      </c>
      <c r="I127" s="17"/>
      <c r="J127" s="102">
        <f t="shared" si="49"/>
        <v>0</v>
      </c>
      <c r="K127" s="41">
        <v>0</v>
      </c>
      <c r="L127" s="42"/>
      <c r="M127" s="43"/>
      <c r="N127" s="41"/>
    </row>
    <row r="128" spans="1:16" s="11" customFormat="1" ht="12.75" customHeight="1">
      <c r="A128" s="12">
        <v>630</v>
      </c>
      <c r="B128" s="13">
        <v>22</v>
      </c>
      <c r="C128" s="14" t="s">
        <v>119</v>
      </c>
      <c r="D128" s="15" t="s">
        <v>120</v>
      </c>
      <c r="E128" s="16">
        <v>0</v>
      </c>
      <c r="F128" s="17"/>
      <c r="G128" s="38">
        <f t="shared" si="48"/>
        <v>0</v>
      </c>
      <c r="H128" s="91">
        <v>0</v>
      </c>
      <c r="I128" s="17"/>
      <c r="J128" s="102">
        <f t="shared" si="49"/>
        <v>0</v>
      </c>
      <c r="K128" s="41">
        <v>0</v>
      </c>
      <c r="L128" s="42">
        <v>0</v>
      </c>
      <c r="M128" s="43"/>
      <c r="N128" s="41"/>
      <c r="P128" s="11" t="s">
        <v>218</v>
      </c>
    </row>
    <row r="129" spans="1:18" s="11" customFormat="1" ht="13.5" customHeight="1">
      <c r="A129" s="12">
        <v>630</v>
      </c>
      <c r="B129" s="13">
        <v>33</v>
      </c>
      <c r="C129" s="14">
        <v>9500</v>
      </c>
      <c r="D129" s="15" t="s">
        <v>121</v>
      </c>
      <c r="E129" s="16">
        <v>0</v>
      </c>
      <c r="F129" s="17"/>
      <c r="G129" s="38">
        <f t="shared" si="48"/>
        <v>0</v>
      </c>
      <c r="H129" s="91">
        <v>0</v>
      </c>
      <c r="I129" s="17"/>
      <c r="J129" s="102">
        <f t="shared" si="49"/>
        <v>0</v>
      </c>
      <c r="K129" s="41">
        <v>0</v>
      </c>
      <c r="L129" s="42">
        <v>0</v>
      </c>
      <c r="M129" s="43">
        <v>90000</v>
      </c>
      <c r="N129" s="41"/>
      <c r="O129" s="141" t="s">
        <v>213</v>
      </c>
      <c r="P129" s="141" t="s">
        <v>214</v>
      </c>
      <c r="Q129" s="141" t="s">
        <v>215</v>
      </c>
      <c r="R129" s="141" t="s">
        <v>216</v>
      </c>
    </row>
    <row r="130" spans="1:18" s="11" customFormat="1" ht="11.25">
      <c r="A130" s="114" t="s">
        <v>112</v>
      </c>
      <c r="B130" s="115">
        <v>51</v>
      </c>
      <c r="C130" s="116" t="s">
        <v>98</v>
      </c>
      <c r="D130" s="121" t="s">
        <v>122</v>
      </c>
      <c r="E130" s="122">
        <v>375900</v>
      </c>
      <c r="F130" s="123">
        <f>261800+34000</f>
        <v>295800</v>
      </c>
      <c r="G130" s="124">
        <f t="shared" si="48"/>
        <v>671700</v>
      </c>
      <c r="H130" s="125">
        <v>249000</v>
      </c>
      <c r="I130" s="123">
        <v>186800</v>
      </c>
      <c r="J130" s="126">
        <f t="shared" si="49"/>
        <v>435800</v>
      </c>
      <c r="K130" s="148">
        <v>917000</v>
      </c>
      <c r="L130" s="127"/>
      <c r="M130" s="128"/>
      <c r="N130" s="41"/>
      <c r="O130" s="86">
        <v>1821000</v>
      </c>
      <c r="P130" s="82">
        <f>O130+K130+J130</f>
        <v>3173800</v>
      </c>
      <c r="Q130" s="144">
        <v>3173800</v>
      </c>
      <c r="R130" s="46">
        <f aca="true" t="shared" si="50" ref="R130:R135">P130-Q130</f>
        <v>0</v>
      </c>
    </row>
    <row r="131" spans="1:18" s="11" customFormat="1" ht="11.25">
      <c r="A131" s="117" t="s">
        <v>112</v>
      </c>
      <c r="B131" s="13">
        <v>51</v>
      </c>
      <c r="C131" s="14" t="s">
        <v>44</v>
      </c>
      <c r="D131" s="15" t="s">
        <v>123</v>
      </c>
      <c r="E131" s="16">
        <v>293100</v>
      </c>
      <c r="F131" s="17">
        <v>211200</v>
      </c>
      <c r="G131" s="38">
        <f t="shared" si="48"/>
        <v>504300</v>
      </c>
      <c r="H131" s="91">
        <v>222200</v>
      </c>
      <c r="I131" s="17">
        <v>-211400</v>
      </c>
      <c r="J131" s="102">
        <f t="shared" si="49"/>
        <v>10800</v>
      </c>
      <c r="K131" s="41">
        <v>0</v>
      </c>
      <c r="L131" s="42">
        <v>0</v>
      </c>
      <c r="M131" s="129"/>
      <c r="N131" s="41"/>
      <c r="O131" s="86">
        <v>2046400</v>
      </c>
      <c r="P131" s="82">
        <f>O131+K131+J131</f>
        <v>2057200</v>
      </c>
      <c r="Q131" s="144">
        <v>2209000</v>
      </c>
      <c r="R131" s="147">
        <f t="shared" si="50"/>
        <v>-151800</v>
      </c>
    </row>
    <row r="132" spans="1:18" s="11" customFormat="1" ht="11.25">
      <c r="A132" s="117" t="s">
        <v>112</v>
      </c>
      <c r="B132" s="13">
        <v>51</v>
      </c>
      <c r="C132" s="14" t="s">
        <v>124</v>
      </c>
      <c r="D132" s="15" t="s">
        <v>125</v>
      </c>
      <c r="E132" s="16">
        <v>0</v>
      </c>
      <c r="F132" s="17">
        <v>79100</v>
      </c>
      <c r="G132" s="38">
        <f t="shared" si="48"/>
        <v>79100</v>
      </c>
      <c r="H132" s="91">
        <v>50000</v>
      </c>
      <c r="I132" s="17"/>
      <c r="J132" s="102">
        <f t="shared" si="49"/>
        <v>50000</v>
      </c>
      <c r="K132" s="139">
        <v>-94100</v>
      </c>
      <c r="L132" s="42"/>
      <c r="M132" s="129"/>
      <c r="N132" s="41"/>
      <c r="O132" s="86">
        <v>1499700</v>
      </c>
      <c r="P132" s="82">
        <f>O132+K132+J132</f>
        <v>1455600</v>
      </c>
      <c r="Q132" s="144">
        <v>1455600</v>
      </c>
      <c r="R132" s="46">
        <f t="shared" si="50"/>
        <v>0</v>
      </c>
    </row>
    <row r="133" spans="1:18" s="11" customFormat="1" ht="11.25">
      <c r="A133" s="117">
        <v>630</v>
      </c>
      <c r="B133" s="13">
        <v>51</v>
      </c>
      <c r="C133" s="14">
        <v>3510</v>
      </c>
      <c r="D133" s="15" t="s">
        <v>126</v>
      </c>
      <c r="E133" s="16">
        <v>0</v>
      </c>
      <c r="F133" s="17"/>
      <c r="G133" s="38">
        <f t="shared" si="48"/>
        <v>0</v>
      </c>
      <c r="H133" s="91">
        <v>0</v>
      </c>
      <c r="I133" s="17"/>
      <c r="J133" s="102">
        <f t="shared" si="49"/>
        <v>0</v>
      </c>
      <c r="K133" s="139">
        <v>389000</v>
      </c>
      <c r="L133" s="42"/>
      <c r="M133" s="129"/>
      <c r="N133" s="41"/>
      <c r="O133" s="86">
        <v>0</v>
      </c>
      <c r="P133" s="82">
        <f>O133+K133+J133</f>
        <v>389000</v>
      </c>
      <c r="Q133" s="144">
        <v>389000</v>
      </c>
      <c r="R133" s="46">
        <f t="shared" si="50"/>
        <v>0</v>
      </c>
    </row>
    <row r="134" spans="1:18" s="11" customFormat="1" ht="11.25">
      <c r="A134" s="118" t="s">
        <v>112</v>
      </c>
      <c r="B134" s="119">
        <v>51</v>
      </c>
      <c r="C134" s="120" t="s">
        <v>116</v>
      </c>
      <c r="D134" s="130" t="s">
        <v>127</v>
      </c>
      <c r="E134" s="131">
        <v>669400</v>
      </c>
      <c r="F134" s="132">
        <v>849800</v>
      </c>
      <c r="G134" s="133">
        <f t="shared" si="48"/>
        <v>1519200</v>
      </c>
      <c r="H134" s="134">
        <v>1053100</v>
      </c>
      <c r="I134" s="132">
        <v>0</v>
      </c>
      <c r="J134" s="135">
        <f>SUM(H134:I134)</f>
        <v>1053100</v>
      </c>
      <c r="K134" s="140">
        <v>936900</v>
      </c>
      <c r="L134" s="136"/>
      <c r="M134" s="137"/>
      <c r="N134" s="41"/>
      <c r="O134" s="142">
        <v>8388675.26</v>
      </c>
      <c r="P134" s="143">
        <f>O134+K134+J134</f>
        <v>10378675.26</v>
      </c>
      <c r="Q134" s="145">
        <v>10378700</v>
      </c>
      <c r="R134" s="146">
        <f t="shared" si="50"/>
        <v>-24.740000000223517</v>
      </c>
    </row>
    <row r="135" spans="1:19" s="11" customFormat="1" ht="12" customHeight="1">
      <c r="A135" s="12">
        <v>630</v>
      </c>
      <c r="B135" s="13">
        <v>67</v>
      </c>
      <c r="C135" s="14">
        <v>9500</v>
      </c>
      <c r="D135" s="15" t="s">
        <v>128</v>
      </c>
      <c r="E135" s="16">
        <v>0</v>
      </c>
      <c r="F135" s="17"/>
      <c r="G135" s="38">
        <f t="shared" si="48"/>
        <v>0</v>
      </c>
      <c r="H135" s="91">
        <v>0</v>
      </c>
      <c r="I135" s="17"/>
      <c r="J135" s="102">
        <f t="shared" si="49"/>
        <v>0</v>
      </c>
      <c r="K135" s="41">
        <v>0</v>
      </c>
      <c r="L135" s="42"/>
      <c r="M135" s="43"/>
      <c r="N135" s="41"/>
      <c r="O135" s="47">
        <f>O134-O133-O132-O131-O130</f>
        <v>3021575.26</v>
      </c>
      <c r="P135" s="47">
        <f>P134-P133-P132-P131-P130</f>
        <v>3303075.26</v>
      </c>
      <c r="Q135" s="47">
        <v>3150999.47</v>
      </c>
      <c r="R135" s="147">
        <f t="shared" si="50"/>
        <v>152075.78999999957</v>
      </c>
      <c r="S135" s="11" t="s">
        <v>217</v>
      </c>
    </row>
    <row r="136" spans="1:14" s="11" customFormat="1" ht="13.5" customHeight="1">
      <c r="A136" s="12">
        <v>630</v>
      </c>
      <c r="B136" s="13">
        <v>68</v>
      </c>
      <c r="C136" s="14">
        <v>9500</v>
      </c>
      <c r="D136" s="15" t="s">
        <v>129</v>
      </c>
      <c r="E136" s="16">
        <v>0</v>
      </c>
      <c r="F136" s="17"/>
      <c r="G136" s="38">
        <f t="shared" si="48"/>
        <v>0</v>
      </c>
      <c r="H136" s="91">
        <v>0</v>
      </c>
      <c r="I136" s="17"/>
      <c r="J136" s="102">
        <f t="shared" si="49"/>
        <v>0</v>
      </c>
      <c r="K136" s="41">
        <v>0</v>
      </c>
      <c r="L136" s="42"/>
      <c r="M136" s="43"/>
      <c r="N136" s="41"/>
    </row>
    <row r="137" spans="1:14" s="11" customFormat="1" ht="11.25" customHeight="1">
      <c r="A137" s="12"/>
      <c r="B137" s="13"/>
      <c r="C137" s="14" t="s">
        <v>119</v>
      </c>
      <c r="D137" s="15" t="s">
        <v>130</v>
      </c>
      <c r="E137" s="16">
        <v>0</v>
      </c>
      <c r="F137" s="17"/>
      <c r="G137" s="38">
        <f t="shared" si="48"/>
        <v>0</v>
      </c>
      <c r="H137" s="91">
        <v>0</v>
      </c>
      <c r="I137" s="17"/>
      <c r="J137" s="102">
        <f t="shared" si="49"/>
        <v>0</v>
      </c>
      <c r="K137" s="41">
        <v>0</v>
      </c>
      <c r="L137" s="42"/>
      <c r="M137" s="43"/>
      <c r="N137" s="41"/>
    </row>
    <row r="138" spans="1:17" s="11" customFormat="1" ht="11.25">
      <c r="A138" s="12" t="s">
        <v>112</v>
      </c>
      <c r="B138" s="13">
        <v>69</v>
      </c>
      <c r="C138" s="14" t="s">
        <v>116</v>
      </c>
      <c r="D138" s="15" t="s">
        <v>131</v>
      </c>
      <c r="E138" s="16">
        <v>0</v>
      </c>
      <c r="F138" s="17"/>
      <c r="G138" s="38">
        <f t="shared" si="48"/>
        <v>0</v>
      </c>
      <c r="H138" s="91">
        <v>20000</v>
      </c>
      <c r="I138" s="17"/>
      <c r="J138" s="102">
        <f t="shared" si="49"/>
        <v>20000</v>
      </c>
      <c r="K138" s="41">
        <v>0</v>
      </c>
      <c r="L138" s="42">
        <v>0</v>
      </c>
      <c r="M138" s="43"/>
      <c r="N138" s="41"/>
      <c r="P138" s="47"/>
      <c r="Q138" s="47"/>
    </row>
    <row r="139" spans="1:17" s="11" customFormat="1" ht="11.25">
      <c r="A139" s="12">
        <v>630</v>
      </c>
      <c r="B139" s="13">
        <v>73</v>
      </c>
      <c r="C139" s="14">
        <v>9500</v>
      </c>
      <c r="D139" s="15" t="s">
        <v>132</v>
      </c>
      <c r="E139" s="16">
        <v>0</v>
      </c>
      <c r="F139" s="17"/>
      <c r="G139" s="38">
        <f t="shared" si="48"/>
        <v>0</v>
      </c>
      <c r="H139" s="91"/>
      <c r="I139" s="17"/>
      <c r="J139" s="102">
        <f t="shared" si="49"/>
        <v>0</v>
      </c>
      <c r="K139" s="41">
        <v>479200</v>
      </c>
      <c r="L139" s="42">
        <v>0</v>
      </c>
      <c r="M139" s="43"/>
      <c r="N139" s="20"/>
      <c r="Q139" s="47"/>
    </row>
    <row r="140" spans="1:14" s="11" customFormat="1" ht="11.25">
      <c r="A140" s="12"/>
      <c r="B140" s="13"/>
      <c r="C140" s="14" t="s">
        <v>32</v>
      </c>
      <c r="D140" s="15" t="s">
        <v>133</v>
      </c>
      <c r="E140" s="16">
        <v>0</v>
      </c>
      <c r="F140" s="17"/>
      <c r="G140" s="38">
        <f t="shared" si="48"/>
        <v>0</v>
      </c>
      <c r="H140" s="91"/>
      <c r="I140" s="17"/>
      <c r="J140" s="102">
        <f t="shared" si="49"/>
        <v>0</v>
      </c>
      <c r="K140" s="41">
        <v>79800</v>
      </c>
      <c r="L140" s="42">
        <v>0</v>
      </c>
      <c r="M140" s="43"/>
      <c r="N140" s="20"/>
    </row>
    <row r="141" spans="1:14" s="11" customFormat="1" ht="11.25">
      <c r="A141" s="12"/>
      <c r="B141" s="13"/>
      <c r="C141" s="14">
        <v>3510</v>
      </c>
      <c r="D141" s="15" t="s">
        <v>134</v>
      </c>
      <c r="E141" s="16">
        <v>0</v>
      </c>
      <c r="F141" s="17"/>
      <c r="G141" s="38">
        <f t="shared" si="48"/>
        <v>0</v>
      </c>
      <c r="H141" s="91"/>
      <c r="I141" s="17"/>
      <c r="J141" s="102">
        <f t="shared" si="49"/>
        <v>0</v>
      </c>
      <c r="K141" s="41">
        <v>359300</v>
      </c>
      <c r="L141" s="42">
        <v>0</v>
      </c>
      <c r="M141" s="43"/>
      <c r="N141" s="20"/>
    </row>
    <row r="142" spans="1:14" s="11" customFormat="1" ht="11.25" hidden="1">
      <c r="A142" s="12">
        <v>630</v>
      </c>
      <c r="B142" s="13">
        <v>78</v>
      </c>
      <c r="C142" s="14">
        <v>9500</v>
      </c>
      <c r="D142" s="15" t="s">
        <v>135</v>
      </c>
      <c r="E142" s="16">
        <v>0</v>
      </c>
      <c r="F142" s="17"/>
      <c r="G142" s="38">
        <f t="shared" si="48"/>
        <v>0</v>
      </c>
      <c r="H142" s="91">
        <v>0</v>
      </c>
      <c r="I142" s="17"/>
      <c r="J142" s="102">
        <f t="shared" si="49"/>
        <v>0</v>
      </c>
      <c r="K142" s="41">
        <v>0</v>
      </c>
      <c r="L142" s="42"/>
      <c r="M142" s="43"/>
      <c r="N142" s="41"/>
    </row>
    <row r="143" spans="1:14" s="11" customFormat="1" ht="11.25" hidden="1">
      <c r="A143" s="12"/>
      <c r="B143" s="13"/>
      <c r="C143" s="14" t="s">
        <v>119</v>
      </c>
      <c r="D143" s="15" t="s">
        <v>136</v>
      </c>
      <c r="E143" s="16">
        <v>0</v>
      </c>
      <c r="F143" s="17"/>
      <c r="G143" s="38">
        <f t="shared" si="48"/>
        <v>0</v>
      </c>
      <c r="H143" s="91">
        <v>0</v>
      </c>
      <c r="I143" s="17"/>
      <c r="J143" s="102">
        <f t="shared" si="49"/>
        <v>0</v>
      </c>
      <c r="K143" s="41">
        <v>0</v>
      </c>
      <c r="L143" s="42"/>
      <c r="M143" s="43"/>
      <c r="N143" s="41"/>
    </row>
    <row r="144" spans="1:14" s="11" customFormat="1" ht="11.25">
      <c r="A144" s="12">
        <v>630</v>
      </c>
      <c r="B144" s="13">
        <v>81</v>
      </c>
      <c r="C144" s="14">
        <v>9500</v>
      </c>
      <c r="D144" s="15" t="s">
        <v>137</v>
      </c>
      <c r="E144" s="16">
        <v>0</v>
      </c>
      <c r="F144" s="17"/>
      <c r="G144" s="38">
        <f t="shared" si="48"/>
        <v>0</v>
      </c>
      <c r="H144" s="91">
        <v>0</v>
      </c>
      <c r="I144" s="17"/>
      <c r="J144" s="102">
        <f t="shared" si="49"/>
        <v>0</v>
      </c>
      <c r="K144" s="41">
        <v>200000</v>
      </c>
      <c r="L144" s="42">
        <v>400000</v>
      </c>
      <c r="M144" s="43"/>
      <c r="N144" s="41"/>
    </row>
    <row r="145" spans="1:14" s="11" customFormat="1" ht="11.25">
      <c r="A145" s="12"/>
      <c r="B145" s="13">
        <v>81</v>
      </c>
      <c r="C145" s="14">
        <v>3600</v>
      </c>
      <c r="D145" s="15" t="s">
        <v>122</v>
      </c>
      <c r="E145" s="16"/>
      <c r="F145" s="17"/>
      <c r="G145" s="38"/>
      <c r="H145" s="91"/>
      <c r="I145" s="17"/>
      <c r="J145" s="102">
        <f t="shared" si="49"/>
        <v>0</v>
      </c>
      <c r="K145" s="41"/>
      <c r="L145" s="42"/>
      <c r="M145" s="43">
        <v>200000</v>
      </c>
      <c r="N145" s="41"/>
    </row>
    <row r="146" spans="1:14" s="11" customFormat="1" ht="11.25">
      <c r="A146" s="12"/>
      <c r="B146" s="13">
        <v>81</v>
      </c>
      <c r="C146" s="14">
        <v>3610</v>
      </c>
      <c r="D146" s="15" t="s">
        <v>138</v>
      </c>
      <c r="E146" s="16"/>
      <c r="F146" s="17"/>
      <c r="G146" s="38"/>
      <c r="H146" s="91"/>
      <c r="I146" s="17"/>
      <c r="J146" s="102">
        <f t="shared" si="49"/>
        <v>0</v>
      </c>
      <c r="K146" s="41"/>
      <c r="L146" s="42"/>
      <c r="M146" s="43">
        <v>200000</v>
      </c>
      <c r="N146" s="41"/>
    </row>
    <row r="147" spans="1:14" s="11" customFormat="1" ht="11.25">
      <c r="A147" s="12">
        <v>630</v>
      </c>
      <c r="B147" s="13">
        <v>83</v>
      </c>
      <c r="C147" s="14">
        <v>9500</v>
      </c>
      <c r="D147" s="15" t="s">
        <v>139</v>
      </c>
      <c r="E147" s="16">
        <v>0</v>
      </c>
      <c r="F147" s="17"/>
      <c r="G147" s="38">
        <f t="shared" si="48"/>
        <v>0</v>
      </c>
      <c r="H147" s="91">
        <v>5500</v>
      </c>
      <c r="I147" s="17"/>
      <c r="J147" s="102">
        <f t="shared" si="49"/>
        <v>5500</v>
      </c>
      <c r="K147" s="41"/>
      <c r="L147" s="42"/>
      <c r="M147" s="43"/>
      <c r="N147" s="41"/>
    </row>
    <row r="148" spans="1:14" s="11" customFormat="1" ht="11.25" hidden="1">
      <c r="A148" s="12">
        <v>630</v>
      </c>
      <c r="B148" s="13">
        <v>84</v>
      </c>
      <c r="C148" s="14">
        <v>9500</v>
      </c>
      <c r="D148" s="15" t="s">
        <v>140</v>
      </c>
      <c r="E148" s="16">
        <v>0</v>
      </c>
      <c r="F148" s="17"/>
      <c r="G148" s="38">
        <f t="shared" si="48"/>
        <v>0</v>
      </c>
      <c r="H148" s="91">
        <v>0</v>
      </c>
      <c r="I148" s="17"/>
      <c r="J148" s="102">
        <f t="shared" si="49"/>
        <v>0</v>
      </c>
      <c r="K148" s="41"/>
      <c r="L148" s="42"/>
      <c r="M148" s="43"/>
      <c r="N148" s="41"/>
    </row>
    <row r="149" spans="1:14" s="11" customFormat="1" ht="11.25">
      <c r="A149" s="12">
        <v>630</v>
      </c>
      <c r="B149" s="13"/>
      <c r="C149" s="14">
        <v>3610</v>
      </c>
      <c r="D149" s="15" t="s">
        <v>201</v>
      </c>
      <c r="E149" s="16"/>
      <c r="F149" s="17"/>
      <c r="G149" s="38"/>
      <c r="H149" s="91">
        <v>0</v>
      </c>
      <c r="I149" s="17"/>
      <c r="J149" s="102">
        <f t="shared" si="49"/>
        <v>0</v>
      </c>
      <c r="K149" s="41">
        <v>20000</v>
      </c>
      <c r="L149" s="42"/>
      <c r="M149" s="43"/>
      <c r="N149" s="41"/>
    </row>
    <row r="150" spans="1:14" s="11" customFormat="1" ht="11.25">
      <c r="A150" s="12">
        <v>630</v>
      </c>
      <c r="B150" s="13"/>
      <c r="C150" s="14">
        <v>9500</v>
      </c>
      <c r="D150" s="15" t="s">
        <v>202</v>
      </c>
      <c r="E150" s="16"/>
      <c r="F150" s="17"/>
      <c r="G150" s="38"/>
      <c r="H150" s="91">
        <v>0</v>
      </c>
      <c r="I150" s="17"/>
      <c r="J150" s="102">
        <f t="shared" si="49"/>
        <v>0</v>
      </c>
      <c r="K150" s="41">
        <v>50000</v>
      </c>
      <c r="L150" s="42"/>
      <c r="M150" s="43"/>
      <c r="N150" s="41"/>
    </row>
    <row r="151" spans="1:14" s="11" customFormat="1" ht="11.25">
      <c r="A151" s="12">
        <v>630</v>
      </c>
      <c r="B151" s="13"/>
      <c r="C151" s="14">
        <v>9500</v>
      </c>
      <c r="D151" s="15" t="s">
        <v>205</v>
      </c>
      <c r="E151" s="16"/>
      <c r="F151" s="17"/>
      <c r="G151" s="38"/>
      <c r="H151" s="91">
        <v>0</v>
      </c>
      <c r="I151" s="17"/>
      <c r="J151" s="102">
        <f t="shared" si="49"/>
        <v>0</v>
      </c>
      <c r="K151" s="41"/>
      <c r="L151" s="42"/>
      <c r="M151" s="43"/>
      <c r="N151" s="41"/>
    </row>
    <row r="152" spans="1:14" s="11" customFormat="1" ht="11.25">
      <c r="A152" s="12">
        <v>630</v>
      </c>
      <c r="B152" s="13">
        <v>85</v>
      </c>
      <c r="C152" s="14">
        <v>9500</v>
      </c>
      <c r="D152" s="15" t="s">
        <v>192</v>
      </c>
      <c r="E152" s="16"/>
      <c r="F152" s="17"/>
      <c r="G152" s="38"/>
      <c r="H152" s="91">
        <v>40000</v>
      </c>
      <c r="I152" s="17">
        <v>0</v>
      </c>
      <c r="J152" s="102">
        <f t="shared" si="49"/>
        <v>40000</v>
      </c>
      <c r="K152" s="41"/>
      <c r="L152" s="42"/>
      <c r="M152" s="43"/>
      <c r="N152" s="41"/>
    </row>
    <row r="153" spans="1:14" s="11" customFormat="1" ht="11.25">
      <c r="A153" s="12">
        <v>630</v>
      </c>
      <c r="B153" s="13"/>
      <c r="C153" s="14">
        <v>9500</v>
      </c>
      <c r="D153" s="15" t="s">
        <v>193</v>
      </c>
      <c r="E153" s="16"/>
      <c r="F153" s="17"/>
      <c r="G153" s="38"/>
      <c r="H153" s="91">
        <v>0</v>
      </c>
      <c r="I153" s="17"/>
      <c r="J153" s="102">
        <f t="shared" si="49"/>
        <v>0</v>
      </c>
      <c r="K153" s="41"/>
      <c r="L153" s="42"/>
      <c r="M153" s="43"/>
      <c r="N153" s="41"/>
    </row>
    <row r="154" spans="1:14" s="11" customFormat="1" ht="11.25">
      <c r="A154" s="12">
        <v>630</v>
      </c>
      <c r="B154" s="13">
        <v>86</v>
      </c>
      <c r="C154" s="14">
        <v>3675</v>
      </c>
      <c r="D154" s="15" t="s">
        <v>203</v>
      </c>
      <c r="E154" s="16"/>
      <c r="F154" s="17"/>
      <c r="G154" s="38"/>
      <c r="H154" s="91">
        <v>2400</v>
      </c>
      <c r="I154" s="17">
        <v>0</v>
      </c>
      <c r="J154" s="102">
        <f t="shared" si="49"/>
        <v>2400</v>
      </c>
      <c r="K154" s="41"/>
      <c r="L154" s="42"/>
      <c r="M154" s="43"/>
      <c r="N154" s="41"/>
    </row>
    <row r="155" spans="1:14" s="11" customFormat="1" ht="11.25">
      <c r="A155" s="12">
        <v>630</v>
      </c>
      <c r="B155" s="13">
        <v>86</v>
      </c>
      <c r="C155" s="14">
        <v>9500</v>
      </c>
      <c r="D155" s="15" t="s">
        <v>204</v>
      </c>
      <c r="E155" s="16"/>
      <c r="F155" s="17"/>
      <c r="G155" s="38"/>
      <c r="H155" s="91">
        <v>2400</v>
      </c>
      <c r="I155" s="17">
        <v>0</v>
      </c>
      <c r="J155" s="102">
        <f t="shared" si="49"/>
        <v>2400</v>
      </c>
      <c r="K155" s="41"/>
      <c r="L155" s="42"/>
      <c r="M155" s="43"/>
      <c r="N155" s="41"/>
    </row>
    <row r="156" spans="1:14" s="11" customFormat="1" ht="11.25">
      <c r="A156" s="12"/>
      <c r="B156" s="13"/>
      <c r="C156" s="14"/>
      <c r="D156" s="27" t="s">
        <v>20</v>
      </c>
      <c r="E156" s="28" t="e">
        <f>SUM(E123+E128+#REF!+E130+E131+E132+E137+E143+#REF!)</f>
        <v>#REF!</v>
      </c>
      <c r="F156" s="29" t="e">
        <f>SUM(F123+F128+#REF!+F130+F131+F132+F137+F143+#REF!)</f>
        <v>#REF!</v>
      </c>
      <c r="G156" s="85">
        <f>SUM(G123+G128+G130+G131+G132+G137+G143+G126)</f>
        <v>1255100</v>
      </c>
      <c r="H156" s="89">
        <f>SUM(H123+H128+H130+H131+H132+H137++H140+H141+H143+H126+H154)</f>
        <v>539900</v>
      </c>
      <c r="I156" s="29">
        <f>SUM(I123+I128+I130+I131+I132+I137++I140+I141+I143+I126+I154)</f>
        <v>-24600</v>
      </c>
      <c r="J156" s="90">
        <f>SUM(J123+J128+J130+J131+J132+J137++J140+J141+J143+J126+J154)</f>
        <v>515300</v>
      </c>
      <c r="K156" s="32">
        <f>SUM(K123+K128+K130+K131+K132+K137+K143+K133+K140+K141+K126+K149)</f>
        <v>1671000</v>
      </c>
      <c r="L156" s="30">
        <f>SUM(L123+L128+L130+L131+L132+L137+L143+L133+L140+L141+L126)</f>
        <v>0</v>
      </c>
      <c r="M156" s="31">
        <f>SUM(M123+M128+M130+M131+M132+M137+M143+M133+M145+M146+M126)</f>
        <v>400000</v>
      </c>
      <c r="N156" s="32"/>
    </row>
    <row r="157" spans="1:14" s="11" customFormat="1" ht="11.25">
      <c r="A157" s="12"/>
      <c r="B157" s="13"/>
      <c r="C157" s="14"/>
      <c r="D157" s="27" t="s">
        <v>21</v>
      </c>
      <c r="E157" s="28" t="e">
        <f>SUM(E125+E127+#REF!+E134+E135+E136+E138+#REF!+E139+E144+E142+#REF!+#REF!+#REF!+E147+E148)</f>
        <v>#REF!</v>
      </c>
      <c r="F157" s="29" t="e">
        <f>SUM(F125+F127+#REF!+F134+F135+F136+F138+#REF!+F139+F144+F142+#REF!+#REF!+#REF!+F147+F148)</f>
        <v>#REF!</v>
      </c>
      <c r="G157" s="85">
        <f>SUM(G125+G127+G134+G135+G136+G138+G139+G144+G142+G147+G148)</f>
        <v>1529200</v>
      </c>
      <c r="H157" s="89">
        <f>SUM(H124+H125+H127+H129+H134+H135+H136+H138+H139+H144+H142+H147+H148+H152+H155)</f>
        <v>1428000</v>
      </c>
      <c r="I157" s="29">
        <f>SUM(I124+I125+I127+I129+I134+I135+I136+I138+I139+I144+I142+I147+I148+I151+I150+I152+I153+I155)</f>
        <v>0</v>
      </c>
      <c r="J157" s="90">
        <f>SUM(J124+J125+J127+J129+J134+J135+J136+J138+J139+J144+J142++J147+J148+J150+J151+J152+J153+J155)</f>
        <v>1428000</v>
      </c>
      <c r="K157" s="32">
        <f>SUM(K124+K125+K127+K129+K134+K135+K136+K138+K139+K144+K142+K147+K148+K150+K151+K153+K155)</f>
        <v>1735100</v>
      </c>
      <c r="L157" s="30">
        <f>SUM(L124+L125+L127+L129+L134+L135+L136+L138+L139+L144+L142+L148+L153+L155)</f>
        <v>400000</v>
      </c>
      <c r="M157" s="31">
        <f>SUM(M124+M125+M127+M129+M134+M135+M136+M138+M139+M144+M142+M148+M153+M155)</f>
        <v>90000</v>
      </c>
      <c r="N157" s="32"/>
    </row>
    <row r="158" spans="1:14" s="11" customFormat="1" ht="11.25">
      <c r="A158" s="12"/>
      <c r="B158" s="13"/>
      <c r="C158" s="14"/>
      <c r="D158" s="27" t="s">
        <v>22</v>
      </c>
      <c r="E158" s="28" t="e">
        <f aca="true" t="shared" si="51" ref="E158:M158">E156-E157</f>
        <v>#REF!</v>
      </c>
      <c r="F158" s="29" t="e">
        <f>F156-F157</f>
        <v>#REF!</v>
      </c>
      <c r="G158" s="85">
        <f>G156-G157</f>
        <v>-274100</v>
      </c>
      <c r="H158" s="89">
        <f t="shared" si="51"/>
        <v>-888100</v>
      </c>
      <c r="I158" s="29">
        <f>I156-I157</f>
        <v>-24600</v>
      </c>
      <c r="J158" s="90">
        <f>J156-J157</f>
        <v>-912700</v>
      </c>
      <c r="K158" s="32">
        <f t="shared" si="51"/>
        <v>-64100</v>
      </c>
      <c r="L158" s="30">
        <f t="shared" si="51"/>
        <v>-400000</v>
      </c>
      <c r="M158" s="31">
        <f t="shared" si="51"/>
        <v>310000</v>
      </c>
      <c r="N158" s="32"/>
    </row>
    <row r="159" spans="1:14" s="11" customFormat="1" ht="13.5" customHeight="1">
      <c r="A159" s="21" t="s">
        <v>141</v>
      </c>
      <c r="B159" s="22"/>
      <c r="C159" s="23"/>
      <c r="D159" s="24" t="s">
        <v>142</v>
      </c>
      <c r="E159" s="28"/>
      <c r="F159" s="29"/>
      <c r="G159" s="85"/>
      <c r="H159" s="89"/>
      <c r="I159" s="29"/>
      <c r="J159" s="90"/>
      <c r="K159" s="32"/>
      <c r="L159" s="30"/>
      <c r="M159" s="31"/>
      <c r="N159" s="32"/>
    </row>
    <row r="160" spans="1:14" s="11" customFormat="1" ht="11.25" hidden="1">
      <c r="A160" s="12" t="s">
        <v>143</v>
      </c>
      <c r="B160" s="13"/>
      <c r="C160" s="14" t="s">
        <v>98</v>
      </c>
      <c r="D160" s="15" t="s">
        <v>144</v>
      </c>
      <c r="E160" s="25">
        <v>0</v>
      </c>
      <c r="F160" s="26"/>
      <c r="G160" s="38">
        <f>SUM(E160:F160)</f>
        <v>0</v>
      </c>
      <c r="H160" s="88">
        <v>0</v>
      </c>
      <c r="I160" s="26"/>
      <c r="J160" s="102">
        <f>SUM(H160:I160)</f>
        <v>0</v>
      </c>
      <c r="K160" s="20">
        <v>0</v>
      </c>
      <c r="L160" s="18">
        <v>0</v>
      </c>
      <c r="M160" s="19"/>
      <c r="N160" s="20"/>
    </row>
    <row r="161" spans="1:14" s="11" customFormat="1" ht="11.25">
      <c r="A161" s="12" t="s">
        <v>143</v>
      </c>
      <c r="B161" s="13"/>
      <c r="C161" s="14" t="s">
        <v>145</v>
      </c>
      <c r="D161" s="15" t="s">
        <v>146</v>
      </c>
      <c r="E161" s="25">
        <v>0</v>
      </c>
      <c r="F161" s="26"/>
      <c r="G161" s="86">
        <f>SUM(E161:F161)</f>
        <v>0</v>
      </c>
      <c r="H161" s="92">
        <v>2500</v>
      </c>
      <c r="I161" s="45"/>
      <c r="J161" s="102">
        <f>SUM(H161:I161)</f>
        <v>2500</v>
      </c>
      <c r="K161" s="82">
        <v>0</v>
      </c>
      <c r="L161" s="49">
        <v>0</v>
      </c>
      <c r="M161" s="50">
        <v>97500</v>
      </c>
      <c r="N161" s="20"/>
    </row>
    <row r="162" spans="1:14" s="11" customFormat="1" ht="11.25">
      <c r="A162" s="12"/>
      <c r="B162" s="13"/>
      <c r="C162" s="14"/>
      <c r="D162" s="27" t="s">
        <v>20</v>
      </c>
      <c r="E162" s="28">
        <f aca="true" t="shared" si="52" ref="E162:M163">SUM(E160)</f>
        <v>0</v>
      </c>
      <c r="F162" s="29">
        <f>SUM(F160)</f>
        <v>0</v>
      </c>
      <c r="G162" s="85">
        <f>SUM(G160)</f>
        <v>0</v>
      </c>
      <c r="H162" s="89">
        <f t="shared" si="52"/>
        <v>0</v>
      </c>
      <c r="I162" s="29">
        <f>SUM(I160)</f>
        <v>0</v>
      </c>
      <c r="J162" s="90">
        <f>SUM(J160)</f>
        <v>0</v>
      </c>
      <c r="K162" s="32">
        <f t="shared" si="52"/>
        <v>0</v>
      </c>
      <c r="L162" s="30">
        <f t="shared" si="52"/>
        <v>0</v>
      </c>
      <c r="M162" s="31">
        <f t="shared" si="52"/>
        <v>0</v>
      </c>
      <c r="N162" s="32"/>
    </row>
    <row r="163" spans="1:14" s="11" customFormat="1" ht="11.25">
      <c r="A163" s="12"/>
      <c r="B163" s="13"/>
      <c r="C163" s="14"/>
      <c r="D163" s="27" t="s">
        <v>21</v>
      </c>
      <c r="E163" s="28">
        <f t="shared" si="52"/>
        <v>0</v>
      </c>
      <c r="F163" s="29">
        <f>SUM(F161)</f>
        <v>0</v>
      </c>
      <c r="G163" s="85">
        <f>SUM(G161)</f>
        <v>0</v>
      </c>
      <c r="H163" s="89">
        <f t="shared" si="52"/>
        <v>2500</v>
      </c>
      <c r="I163" s="29">
        <f>SUM(I161)</f>
        <v>0</v>
      </c>
      <c r="J163" s="90">
        <f>SUM(J161)</f>
        <v>2500</v>
      </c>
      <c r="K163" s="32">
        <f t="shared" si="52"/>
        <v>0</v>
      </c>
      <c r="L163" s="30">
        <f t="shared" si="52"/>
        <v>0</v>
      </c>
      <c r="M163" s="31">
        <f t="shared" si="52"/>
        <v>97500</v>
      </c>
      <c r="N163" s="32"/>
    </row>
    <row r="164" spans="1:14" s="11" customFormat="1" ht="11.25">
      <c r="A164" s="12"/>
      <c r="B164" s="13"/>
      <c r="C164" s="14"/>
      <c r="D164" s="27" t="s">
        <v>22</v>
      </c>
      <c r="E164" s="28">
        <f aca="true" t="shared" si="53" ref="E164:M164">E162-E163</f>
        <v>0</v>
      </c>
      <c r="F164" s="29">
        <f>F162-F163</f>
        <v>0</v>
      </c>
      <c r="G164" s="85">
        <f>G162-G163</f>
        <v>0</v>
      </c>
      <c r="H164" s="89">
        <f t="shared" si="53"/>
        <v>-2500</v>
      </c>
      <c r="I164" s="29">
        <f>I162-I163</f>
        <v>0</v>
      </c>
      <c r="J164" s="90">
        <f>J162-J163</f>
        <v>-2500</v>
      </c>
      <c r="K164" s="32">
        <f t="shared" si="53"/>
        <v>0</v>
      </c>
      <c r="L164" s="30">
        <f t="shared" si="53"/>
        <v>0</v>
      </c>
      <c r="M164" s="31">
        <f t="shared" si="53"/>
        <v>-97500</v>
      </c>
      <c r="N164" s="32"/>
    </row>
    <row r="165" spans="1:14" s="11" customFormat="1" ht="13.5" customHeight="1">
      <c r="A165" s="21" t="s">
        <v>147</v>
      </c>
      <c r="B165" s="22"/>
      <c r="C165" s="23"/>
      <c r="D165" s="24" t="s">
        <v>148</v>
      </c>
      <c r="E165" s="28"/>
      <c r="F165" s="29"/>
      <c r="G165" s="85"/>
      <c r="H165" s="89"/>
      <c r="I165" s="29"/>
      <c r="J165" s="90"/>
      <c r="K165" s="32"/>
      <c r="L165" s="30"/>
      <c r="M165" s="31"/>
      <c r="N165" s="32"/>
    </row>
    <row r="166" spans="1:14" s="11" customFormat="1" ht="11.25">
      <c r="A166" s="12" t="s">
        <v>149</v>
      </c>
      <c r="B166" s="13">
        <v>2</v>
      </c>
      <c r="C166" s="14" t="s">
        <v>150</v>
      </c>
      <c r="D166" s="15" t="s">
        <v>151</v>
      </c>
      <c r="E166" s="16">
        <v>0</v>
      </c>
      <c r="F166" s="17"/>
      <c r="G166" s="86">
        <f>SUM(E166:F166)</f>
        <v>0</v>
      </c>
      <c r="H166" s="91">
        <v>0</v>
      </c>
      <c r="I166" s="17"/>
      <c r="J166" s="102">
        <f>SUM(H166:I166)</f>
        <v>0</v>
      </c>
      <c r="K166" s="41">
        <v>40000</v>
      </c>
      <c r="L166" s="42">
        <v>0</v>
      </c>
      <c r="M166" s="43"/>
      <c r="N166" s="41"/>
    </row>
    <row r="167" spans="1:14" s="11" customFormat="1" ht="11.25">
      <c r="A167" s="12"/>
      <c r="B167" s="13"/>
      <c r="C167" s="14"/>
      <c r="D167" s="27" t="s">
        <v>20</v>
      </c>
      <c r="E167" s="28">
        <f aca="true" t="shared" si="54" ref="E167:M167">SUM(0)</f>
        <v>0</v>
      </c>
      <c r="F167" s="29">
        <f t="shared" si="54"/>
        <v>0</v>
      </c>
      <c r="G167" s="85">
        <f t="shared" si="54"/>
        <v>0</v>
      </c>
      <c r="H167" s="89">
        <f t="shared" si="54"/>
        <v>0</v>
      </c>
      <c r="I167" s="29">
        <f t="shared" si="54"/>
        <v>0</v>
      </c>
      <c r="J167" s="90">
        <f t="shared" si="54"/>
        <v>0</v>
      </c>
      <c r="K167" s="32">
        <f t="shared" si="54"/>
        <v>0</v>
      </c>
      <c r="L167" s="30">
        <f t="shared" si="54"/>
        <v>0</v>
      </c>
      <c r="M167" s="31">
        <f t="shared" si="54"/>
        <v>0</v>
      </c>
      <c r="N167" s="32"/>
    </row>
    <row r="168" spans="1:14" s="11" customFormat="1" ht="11.25">
      <c r="A168" s="12"/>
      <c r="B168" s="13"/>
      <c r="C168" s="14"/>
      <c r="D168" s="27" t="s">
        <v>21</v>
      </c>
      <c r="E168" s="28">
        <f aca="true" t="shared" si="55" ref="E168:L168">SUM(E166:E166)</f>
        <v>0</v>
      </c>
      <c r="F168" s="29">
        <f t="shared" si="55"/>
        <v>0</v>
      </c>
      <c r="G168" s="85">
        <f t="shared" si="55"/>
        <v>0</v>
      </c>
      <c r="H168" s="89">
        <f t="shared" si="55"/>
        <v>0</v>
      </c>
      <c r="I168" s="29">
        <f>SUM(I166:I166)</f>
        <v>0</v>
      </c>
      <c r="J168" s="90">
        <f>SUM(J166:J166)</f>
        <v>0</v>
      </c>
      <c r="K168" s="32">
        <f t="shared" si="55"/>
        <v>40000</v>
      </c>
      <c r="L168" s="30">
        <f t="shared" si="55"/>
        <v>0</v>
      </c>
      <c r="M168" s="31">
        <f>SUM(M166:M166)</f>
        <v>0</v>
      </c>
      <c r="N168" s="32"/>
    </row>
    <row r="169" spans="1:14" s="11" customFormat="1" ht="11.25">
      <c r="A169" s="12"/>
      <c r="B169" s="13"/>
      <c r="C169" s="14"/>
      <c r="D169" s="27" t="s">
        <v>22</v>
      </c>
      <c r="E169" s="28">
        <f aca="true" t="shared" si="56" ref="E169:M169">E167-E168</f>
        <v>0</v>
      </c>
      <c r="F169" s="29">
        <f>F167-F168</f>
        <v>0</v>
      </c>
      <c r="G169" s="85">
        <f>G167-G168</f>
        <v>0</v>
      </c>
      <c r="H169" s="89">
        <f t="shared" si="56"/>
        <v>0</v>
      </c>
      <c r="I169" s="29">
        <f>I167-I168</f>
        <v>0</v>
      </c>
      <c r="J169" s="90">
        <f>J167-J168</f>
        <v>0</v>
      </c>
      <c r="K169" s="32">
        <f t="shared" si="56"/>
        <v>-40000</v>
      </c>
      <c r="L169" s="30">
        <f t="shared" si="56"/>
        <v>0</v>
      </c>
      <c r="M169" s="31">
        <f t="shared" si="56"/>
        <v>0</v>
      </c>
      <c r="N169" s="32"/>
    </row>
    <row r="170" spans="1:14" s="11" customFormat="1" ht="13.5" customHeight="1">
      <c r="A170" s="21" t="s">
        <v>152</v>
      </c>
      <c r="B170" s="22"/>
      <c r="C170" s="23"/>
      <c r="D170" s="24" t="s">
        <v>153</v>
      </c>
      <c r="E170" s="28"/>
      <c r="F170" s="29"/>
      <c r="G170" s="85"/>
      <c r="H170" s="89"/>
      <c r="I170" s="29"/>
      <c r="J170" s="90"/>
      <c r="K170" s="32"/>
      <c r="L170" s="30"/>
      <c r="M170" s="31"/>
      <c r="N170" s="32"/>
    </row>
    <row r="171" spans="1:14" s="11" customFormat="1" ht="11.25">
      <c r="A171" s="12" t="s">
        <v>154</v>
      </c>
      <c r="B171" s="13"/>
      <c r="C171" s="14" t="s">
        <v>94</v>
      </c>
      <c r="D171" s="15" t="s">
        <v>95</v>
      </c>
      <c r="E171" s="25">
        <v>20000</v>
      </c>
      <c r="F171" s="26">
        <v>32700</v>
      </c>
      <c r="G171" s="86">
        <f>SUM(E171:F171)</f>
        <v>52700</v>
      </c>
      <c r="H171" s="92">
        <v>445800</v>
      </c>
      <c r="I171" s="45">
        <v>78000</v>
      </c>
      <c r="J171" s="102">
        <f>SUM(H171:I171)</f>
        <v>523800</v>
      </c>
      <c r="K171" s="82">
        <v>20000</v>
      </c>
      <c r="L171" s="49">
        <v>20000</v>
      </c>
      <c r="M171" s="50">
        <v>20000</v>
      </c>
      <c r="N171" s="20"/>
    </row>
    <row r="172" spans="1:14" s="11" customFormat="1" ht="11.25">
      <c r="A172" s="48"/>
      <c r="B172" s="13"/>
      <c r="C172" s="14"/>
      <c r="D172" s="27" t="s">
        <v>20</v>
      </c>
      <c r="E172" s="28">
        <f aca="true" t="shared" si="57" ref="E172:M172">SUM(E171)</f>
        <v>20000</v>
      </c>
      <c r="F172" s="29">
        <f t="shared" si="57"/>
        <v>32700</v>
      </c>
      <c r="G172" s="85">
        <f t="shared" si="57"/>
        <v>52700</v>
      </c>
      <c r="H172" s="89">
        <f t="shared" si="57"/>
        <v>445800</v>
      </c>
      <c r="I172" s="29">
        <f>SUM(I171)</f>
        <v>78000</v>
      </c>
      <c r="J172" s="90">
        <f>SUM(J171)</f>
        <v>523800</v>
      </c>
      <c r="K172" s="32">
        <f t="shared" si="57"/>
        <v>20000</v>
      </c>
      <c r="L172" s="30">
        <f t="shared" si="57"/>
        <v>20000</v>
      </c>
      <c r="M172" s="31">
        <f t="shared" si="57"/>
        <v>20000</v>
      </c>
      <c r="N172" s="32"/>
    </row>
    <row r="173" spans="1:14" s="11" customFormat="1" ht="11.25">
      <c r="A173" s="48"/>
      <c r="B173" s="13"/>
      <c r="C173" s="14"/>
      <c r="D173" s="27" t="s">
        <v>21</v>
      </c>
      <c r="E173" s="28">
        <f aca="true" t="shared" si="58" ref="E173:M173">SUM(0)</f>
        <v>0</v>
      </c>
      <c r="F173" s="29">
        <f t="shared" si="58"/>
        <v>0</v>
      </c>
      <c r="G173" s="85">
        <f t="shared" si="58"/>
        <v>0</v>
      </c>
      <c r="H173" s="89">
        <f t="shared" si="58"/>
        <v>0</v>
      </c>
      <c r="I173" s="29">
        <f t="shared" si="58"/>
        <v>0</v>
      </c>
      <c r="J173" s="90">
        <f t="shared" si="58"/>
        <v>0</v>
      </c>
      <c r="K173" s="32">
        <f t="shared" si="58"/>
        <v>0</v>
      </c>
      <c r="L173" s="30">
        <f t="shared" si="58"/>
        <v>0</v>
      </c>
      <c r="M173" s="31">
        <f t="shared" si="58"/>
        <v>0</v>
      </c>
      <c r="N173" s="32"/>
    </row>
    <row r="174" spans="1:14" s="11" customFormat="1" ht="11.25">
      <c r="A174" s="48"/>
      <c r="B174" s="13"/>
      <c r="C174" s="14"/>
      <c r="D174" s="27" t="s">
        <v>22</v>
      </c>
      <c r="E174" s="28">
        <f aca="true" t="shared" si="59" ref="E174:M174">E172-E173</f>
        <v>20000</v>
      </c>
      <c r="F174" s="29">
        <f>F172-F173</f>
        <v>32700</v>
      </c>
      <c r="G174" s="85">
        <f>G172-G173</f>
        <v>52700</v>
      </c>
      <c r="H174" s="89">
        <f t="shared" si="59"/>
        <v>445800</v>
      </c>
      <c r="I174" s="29">
        <f>I172-I173</f>
        <v>78000</v>
      </c>
      <c r="J174" s="90">
        <f>J172-J173</f>
        <v>523800</v>
      </c>
      <c r="K174" s="32">
        <f t="shared" si="59"/>
        <v>20000</v>
      </c>
      <c r="L174" s="30">
        <f t="shared" si="59"/>
        <v>20000</v>
      </c>
      <c r="M174" s="31">
        <f t="shared" si="59"/>
        <v>20000</v>
      </c>
      <c r="N174" s="32"/>
    </row>
    <row r="175" spans="1:14" s="11" customFormat="1" ht="13.5" customHeight="1">
      <c r="A175" s="21" t="s">
        <v>155</v>
      </c>
      <c r="B175" s="22"/>
      <c r="C175" s="23"/>
      <c r="D175" s="24" t="s">
        <v>156</v>
      </c>
      <c r="E175" s="28"/>
      <c r="F175" s="29"/>
      <c r="G175" s="85"/>
      <c r="H175" s="89"/>
      <c r="I175" s="29"/>
      <c r="J175" s="90"/>
      <c r="K175" s="32"/>
      <c r="L175" s="30"/>
      <c r="M175" s="31"/>
      <c r="N175" s="32"/>
    </row>
    <row r="176" spans="1:14" s="11" customFormat="1" ht="11.25">
      <c r="A176" s="12" t="s">
        <v>157</v>
      </c>
      <c r="B176" s="13"/>
      <c r="C176" s="14" t="s">
        <v>158</v>
      </c>
      <c r="D176" s="15" t="s">
        <v>159</v>
      </c>
      <c r="E176" s="44">
        <v>1000600</v>
      </c>
      <c r="F176" s="45">
        <v>-23300</v>
      </c>
      <c r="G176" s="86">
        <f aca="true" t="shared" si="60" ref="G176:G188">SUM(E176:F176)</f>
        <v>977300</v>
      </c>
      <c r="H176" s="92">
        <v>960800</v>
      </c>
      <c r="I176" s="45">
        <v>0</v>
      </c>
      <c r="J176" s="102">
        <f aca="true" t="shared" si="61" ref="J176:J188">SUM(H176:I176)</f>
        <v>960800</v>
      </c>
      <c r="K176" s="82">
        <v>974700</v>
      </c>
      <c r="L176" s="49">
        <v>1021000</v>
      </c>
      <c r="M176" s="50">
        <v>1049900</v>
      </c>
      <c r="N176" s="20"/>
    </row>
    <row r="177" spans="1:14" s="11" customFormat="1" ht="11.25">
      <c r="A177" s="12" t="s">
        <v>157</v>
      </c>
      <c r="B177" s="13"/>
      <c r="C177" s="14" t="s">
        <v>160</v>
      </c>
      <c r="D177" s="15" t="s">
        <v>161</v>
      </c>
      <c r="E177" s="25">
        <v>10000</v>
      </c>
      <c r="F177" s="26"/>
      <c r="G177" s="86">
        <f t="shared" si="60"/>
        <v>10000</v>
      </c>
      <c r="H177" s="92">
        <v>10000</v>
      </c>
      <c r="I177" s="45"/>
      <c r="J177" s="102">
        <f t="shared" si="61"/>
        <v>10000</v>
      </c>
      <c r="K177" s="82">
        <v>10000</v>
      </c>
      <c r="L177" s="49">
        <v>10000</v>
      </c>
      <c r="M177" s="50">
        <v>10000</v>
      </c>
      <c r="N177" s="20"/>
    </row>
    <row r="178" spans="1:14" s="11" customFormat="1" ht="11.25">
      <c r="A178" s="12" t="s">
        <v>157</v>
      </c>
      <c r="B178" s="13"/>
      <c r="C178" s="14" t="s">
        <v>162</v>
      </c>
      <c r="D178" s="15" t="s">
        <v>163</v>
      </c>
      <c r="E178" s="16">
        <v>100</v>
      </c>
      <c r="F178" s="17">
        <v>100</v>
      </c>
      <c r="G178" s="86">
        <f t="shared" si="60"/>
        <v>200</v>
      </c>
      <c r="H178" s="91">
        <v>100</v>
      </c>
      <c r="I178" s="17"/>
      <c r="J178" s="102">
        <f t="shared" si="61"/>
        <v>100</v>
      </c>
      <c r="K178" s="41">
        <v>100</v>
      </c>
      <c r="L178" s="42">
        <v>100</v>
      </c>
      <c r="M178" s="43">
        <v>100</v>
      </c>
      <c r="N178" s="41"/>
    </row>
    <row r="179" spans="1:14" s="11" customFormat="1" ht="11.25">
      <c r="A179" s="12" t="s">
        <v>157</v>
      </c>
      <c r="B179" s="13"/>
      <c r="C179" s="14" t="s">
        <v>164</v>
      </c>
      <c r="D179" s="15" t="s">
        <v>165</v>
      </c>
      <c r="E179" s="16">
        <v>0</v>
      </c>
      <c r="F179" s="17"/>
      <c r="G179" s="86">
        <f t="shared" si="60"/>
        <v>0</v>
      </c>
      <c r="H179" s="91">
        <v>10000</v>
      </c>
      <c r="I179" s="17"/>
      <c r="J179" s="102">
        <f t="shared" si="61"/>
        <v>10000</v>
      </c>
      <c r="K179" s="41">
        <v>0</v>
      </c>
      <c r="L179" s="42">
        <v>0</v>
      </c>
      <c r="M179" s="43"/>
      <c r="N179" s="41"/>
    </row>
    <row r="180" spans="1:14" s="11" customFormat="1" ht="11.25">
      <c r="A180" s="12" t="s">
        <v>157</v>
      </c>
      <c r="B180" s="13"/>
      <c r="C180" s="14" t="s">
        <v>166</v>
      </c>
      <c r="D180" s="15" t="s">
        <v>167</v>
      </c>
      <c r="E180" s="16">
        <v>200</v>
      </c>
      <c r="F180" s="17">
        <v>100</v>
      </c>
      <c r="G180" s="86">
        <f t="shared" si="60"/>
        <v>300</v>
      </c>
      <c r="H180" s="91">
        <v>0</v>
      </c>
      <c r="I180" s="17"/>
      <c r="J180" s="102">
        <f t="shared" si="61"/>
        <v>0</v>
      </c>
      <c r="K180" s="41">
        <v>300</v>
      </c>
      <c r="L180" s="42">
        <v>0</v>
      </c>
      <c r="M180" s="43"/>
      <c r="N180" s="41"/>
    </row>
    <row r="181" spans="1:14" s="11" customFormat="1" ht="11.25" hidden="1">
      <c r="A181" s="12" t="s">
        <v>157</v>
      </c>
      <c r="B181" s="13"/>
      <c r="C181" s="14" t="s">
        <v>168</v>
      </c>
      <c r="D181" s="15" t="s">
        <v>169</v>
      </c>
      <c r="E181" s="16">
        <v>0</v>
      </c>
      <c r="F181" s="17"/>
      <c r="G181" s="86">
        <f t="shared" si="60"/>
        <v>0</v>
      </c>
      <c r="H181" s="91">
        <v>0</v>
      </c>
      <c r="I181" s="17"/>
      <c r="J181" s="102">
        <f t="shared" si="61"/>
        <v>0</v>
      </c>
      <c r="K181" s="41">
        <v>0</v>
      </c>
      <c r="L181" s="42">
        <v>0</v>
      </c>
      <c r="M181" s="43"/>
      <c r="N181" s="41"/>
    </row>
    <row r="182" spans="1:14" s="11" customFormat="1" ht="11.25">
      <c r="A182" s="12" t="s">
        <v>157</v>
      </c>
      <c r="B182" s="13"/>
      <c r="C182" s="14" t="s">
        <v>170</v>
      </c>
      <c r="D182" s="15" t="s">
        <v>171</v>
      </c>
      <c r="E182" s="16">
        <v>169400</v>
      </c>
      <c r="F182" s="17">
        <v>164400</v>
      </c>
      <c r="G182" s="86">
        <f t="shared" si="60"/>
        <v>333800</v>
      </c>
      <c r="H182" s="91">
        <v>862500</v>
      </c>
      <c r="I182" s="17">
        <v>0</v>
      </c>
      <c r="J182" s="102">
        <f t="shared" si="61"/>
        <v>862500</v>
      </c>
      <c r="K182" s="41">
        <f>714100+180000+41900</f>
        <v>936000</v>
      </c>
      <c r="L182" s="42">
        <f>797600+120000</f>
        <v>917600</v>
      </c>
      <c r="M182" s="43">
        <v>233900</v>
      </c>
      <c r="N182" s="41"/>
    </row>
    <row r="183" spans="1:14" s="11" customFormat="1" ht="11.25">
      <c r="A183" s="12" t="s">
        <v>157</v>
      </c>
      <c r="B183" s="13"/>
      <c r="C183" s="14" t="s">
        <v>172</v>
      </c>
      <c r="D183" s="15" t="s">
        <v>173</v>
      </c>
      <c r="E183" s="16">
        <v>300</v>
      </c>
      <c r="F183" s="17"/>
      <c r="G183" s="86">
        <f t="shared" si="60"/>
        <v>300</v>
      </c>
      <c r="H183" s="91">
        <v>0</v>
      </c>
      <c r="I183" s="17"/>
      <c r="J183" s="102">
        <f t="shared" si="61"/>
        <v>0</v>
      </c>
      <c r="K183" s="41">
        <v>300</v>
      </c>
      <c r="L183" s="42">
        <v>0</v>
      </c>
      <c r="M183" s="43"/>
      <c r="N183" s="41"/>
    </row>
    <row r="184" spans="1:14" s="11" customFormat="1" ht="11.25" hidden="1">
      <c r="A184" s="12" t="s">
        <v>157</v>
      </c>
      <c r="B184" s="13"/>
      <c r="C184" s="14" t="s">
        <v>174</v>
      </c>
      <c r="D184" s="15" t="s">
        <v>175</v>
      </c>
      <c r="E184" s="16">
        <v>0</v>
      </c>
      <c r="F184" s="17"/>
      <c r="G184" s="86">
        <f t="shared" si="60"/>
        <v>0</v>
      </c>
      <c r="H184" s="91">
        <v>0</v>
      </c>
      <c r="I184" s="17"/>
      <c r="J184" s="102">
        <f t="shared" si="61"/>
        <v>0</v>
      </c>
      <c r="K184" s="41">
        <v>0</v>
      </c>
      <c r="L184" s="42">
        <v>0</v>
      </c>
      <c r="M184" s="43"/>
      <c r="N184" s="41"/>
    </row>
    <row r="185" spans="1:14" s="11" customFormat="1" ht="11.25">
      <c r="A185" s="12" t="s">
        <v>157</v>
      </c>
      <c r="B185" s="13"/>
      <c r="C185" s="14" t="s">
        <v>176</v>
      </c>
      <c r="D185" s="15" t="s">
        <v>177</v>
      </c>
      <c r="E185" s="16">
        <v>10000</v>
      </c>
      <c r="F185" s="17"/>
      <c r="G185" s="86">
        <f t="shared" si="60"/>
        <v>10000</v>
      </c>
      <c r="H185" s="91">
        <v>10000</v>
      </c>
      <c r="I185" s="17"/>
      <c r="J185" s="102">
        <f t="shared" si="61"/>
        <v>10000</v>
      </c>
      <c r="K185" s="41">
        <v>10000</v>
      </c>
      <c r="L185" s="42">
        <v>10000</v>
      </c>
      <c r="M185" s="43">
        <v>10000</v>
      </c>
      <c r="N185" s="41"/>
    </row>
    <row r="186" spans="1:14" s="11" customFormat="1" ht="11.25">
      <c r="A186" s="12">
        <v>910</v>
      </c>
      <c r="B186" s="13"/>
      <c r="C186" s="14">
        <v>9191</v>
      </c>
      <c r="D186" s="15" t="s">
        <v>178</v>
      </c>
      <c r="E186" s="16">
        <v>200</v>
      </c>
      <c r="F186" s="17"/>
      <c r="G186" s="86">
        <f t="shared" si="60"/>
        <v>200</v>
      </c>
      <c r="H186" s="91">
        <v>100</v>
      </c>
      <c r="I186" s="17"/>
      <c r="J186" s="102">
        <f t="shared" si="61"/>
        <v>100</v>
      </c>
      <c r="K186" s="41">
        <v>100</v>
      </c>
      <c r="L186" s="42">
        <v>100</v>
      </c>
      <c r="M186" s="43">
        <v>100</v>
      </c>
      <c r="N186" s="41"/>
    </row>
    <row r="187" spans="1:14" s="11" customFormat="1" ht="11.25" customHeight="1">
      <c r="A187" s="12" t="s">
        <v>157</v>
      </c>
      <c r="B187" s="13"/>
      <c r="C187" s="14" t="s">
        <v>179</v>
      </c>
      <c r="D187" s="15" t="s">
        <v>180</v>
      </c>
      <c r="E187" s="16">
        <v>5300</v>
      </c>
      <c r="F187" s="17"/>
      <c r="G187" s="86">
        <f t="shared" si="60"/>
        <v>5300</v>
      </c>
      <c r="H187" s="91">
        <v>5300</v>
      </c>
      <c r="I187" s="17"/>
      <c r="J187" s="102">
        <f t="shared" si="61"/>
        <v>5300</v>
      </c>
      <c r="K187" s="41">
        <v>5300</v>
      </c>
      <c r="L187" s="42">
        <v>5300</v>
      </c>
      <c r="M187" s="43">
        <v>5400</v>
      </c>
      <c r="N187" s="41"/>
    </row>
    <row r="188" spans="1:14" s="11" customFormat="1" ht="11.25">
      <c r="A188" s="12" t="s">
        <v>157</v>
      </c>
      <c r="B188" s="13"/>
      <c r="C188" s="14" t="s">
        <v>181</v>
      </c>
      <c r="D188" s="15" t="s">
        <v>182</v>
      </c>
      <c r="E188" s="16">
        <v>995300</v>
      </c>
      <c r="F188" s="17">
        <v>-23300</v>
      </c>
      <c r="G188" s="86">
        <f t="shared" si="60"/>
        <v>972000</v>
      </c>
      <c r="H188" s="91">
        <v>955500</v>
      </c>
      <c r="I188" s="17">
        <v>0</v>
      </c>
      <c r="J188" s="102">
        <f t="shared" si="61"/>
        <v>955500</v>
      </c>
      <c r="K188" s="41">
        <f>967100+2300</f>
        <v>969400</v>
      </c>
      <c r="L188" s="42">
        <f>992900+22800</f>
        <v>1015700</v>
      </c>
      <c r="M188" s="43">
        <f>1001400+43100</f>
        <v>1044500</v>
      </c>
      <c r="N188" s="41"/>
    </row>
    <row r="189" spans="1:14" s="11" customFormat="1" ht="11.25">
      <c r="A189" s="12"/>
      <c r="B189" s="13"/>
      <c r="C189" s="14"/>
      <c r="D189" s="27" t="s">
        <v>20</v>
      </c>
      <c r="E189" s="28">
        <f aca="true" t="shared" si="62" ref="E189:M189">SUM(E176:E182)</f>
        <v>1180300</v>
      </c>
      <c r="F189" s="29">
        <f t="shared" si="62"/>
        <v>141300</v>
      </c>
      <c r="G189" s="85">
        <f t="shared" si="62"/>
        <v>1321600</v>
      </c>
      <c r="H189" s="89">
        <f t="shared" si="62"/>
        <v>1843400</v>
      </c>
      <c r="I189" s="29">
        <f t="shared" si="62"/>
        <v>0</v>
      </c>
      <c r="J189" s="90">
        <f t="shared" si="62"/>
        <v>1843400</v>
      </c>
      <c r="K189" s="32">
        <f t="shared" si="62"/>
        <v>1921100</v>
      </c>
      <c r="L189" s="30">
        <f t="shared" si="62"/>
        <v>1948700</v>
      </c>
      <c r="M189" s="31">
        <f t="shared" si="62"/>
        <v>1293900</v>
      </c>
      <c r="N189" s="32"/>
    </row>
    <row r="190" spans="1:14" s="11" customFormat="1" ht="11.25">
      <c r="A190" s="12"/>
      <c r="B190" s="13"/>
      <c r="C190" s="14"/>
      <c r="D190" s="27" t="s">
        <v>21</v>
      </c>
      <c r="E190" s="28">
        <f aca="true" t="shared" si="63" ref="E190:M190">SUM(E183:E188)</f>
        <v>1011100</v>
      </c>
      <c r="F190" s="29">
        <f t="shared" si="63"/>
        <v>-23300</v>
      </c>
      <c r="G190" s="85">
        <f t="shared" si="63"/>
        <v>987800</v>
      </c>
      <c r="H190" s="89">
        <f t="shared" si="63"/>
        <v>970900</v>
      </c>
      <c r="I190" s="29">
        <f t="shared" si="63"/>
        <v>0</v>
      </c>
      <c r="J190" s="90">
        <f t="shared" si="63"/>
        <v>970900</v>
      </c>
      <c r="K190" s="32">
        <f t="shared" si="63"/>
        <v>985100</v>
      </c>
      <c r="L190" s="30">
        <f t="shared" si="63"/>
        <v>1031100</v>
      </c>
      <c r="M190" s="31">
        <f t="shared" si="63"/>
        <v>1060000</v>
      </c>
      <c r="N190" s="32"/>
    </row>
    <row r="191" spans="1:14" s="11" customFormat="1" ht="11.25">
      <c r="A191" s="12"/>
      <c r="B191" s="13"/>
      <c r="C191" s="14"/>
      <c r="D191" s="27" t="s">
        <v>22</v>
      </c>
      <c r="E191" s="28">
        <f aca="true" t="shared" si="64" ref="E191:M191">E189-E190</f>
        <v>169200</v>
      </c>
      <c r="F191" s="29">
        <f>F189-F190</f>
        <v>164600</v>
      </c>
      <c r="G191" s="85">
        <f>G189-G190</f>
        <v>333800</v>
      </c>
      <c r="H191" s="89">
        <f>H189-H190</f>
        <v>872500</v>
      </c>
      <c r="I191" s="29">
        <f>I189-I190</f>
        <v>0</v>
      </c>
      <c r="J191" s="90">
        <f>J189-J190</f>
        <v>872500</v>
      </c>
      <c r="K191" s="32">
        <f t="shared" si="64"/>
        <v>936000</v>
      </c>
      <c r="L191" s="30">
        <f t="shared" si="64"/>
        <v>917600</v>
      </c>
      <c r="M191" s="31">
        <f t="shared" si="64"/>
        <v>233900</v>
      </c>
      <c r="N191" s="32"/>
    </row>
    <row r="192" spans="1:14" s="11" customFormat="1" ht="11.25">
      <c r="A192" s="12" t="s">
        <v>183</v>
      </c>
      <c r="B192" s="13"/>
      <c r="C192" s="14" t="s">
        <v>183</v>
      </c>
      <c r="D192" s="15" t="s">
        <v>183</v>
      </c>
      <c r="E192" s="25"/>
      <c r="F192" s="26"/>
      <c r="G192" s="86"/>
      <c r="H192" s="92"/>
      <c r="I192" s="45"/>
      <c r="J192" s="102"/>
      <c r="K192" s="82"/>
      <c r="L192" s="49"/>
      <c r="M192" s="50"/>
      <c r="N192" s="20"/>
    </row>
    <row r="193" spans="1:14" s="11" customFormat="1" ht="11.25">
      <c r="A193" s="48" t="s">
        <v>183</v>
      </c>
      <c r="B193" s="13"/>
      <c r="C193" s="14" t="s">
        <v>183</v>
      </c>
      <c r="D193" s="27" t="s">
        <v>184</v>
      </c>
      <c r="E193" s="28" t="e">
        <f>E9+E24+E37+E43+E54+#REF!+E75+E81+E86+E92+E98+E107+E119+E156+E162+E167+E172+E189+E29</f>
        <v>#REF!</v>
      </c>
      <c r="F193" s="29" t="e">
        <f>F9+F24+F37+F43+F54+#REF!+F75+F81+F86+F92+F98+F107+F119+F156+F162+F167+F172+F189+F29</f>
        <v>#REF!</v>
      </c>
      <c r="G193" s="85">
        <f>G9+G24+G37+G43+G54+G75+G81+G86+G92+G98+G107+G119+G156+G162+G167+G172+G189+G29+G113</f>
        <v>3068400</v>
      </c>
      <c r="H193" s="89">
        <f>H9+H24+H37+E43+H54+H61+H75+H81+H86+H92+H98+H107+H119+H156+H162+H167+H172+H189+H29+H113</f>
        <v>3416000</v>
      </c>
      <c r="I193" s="29">
        <f>I9+I24+I37+I43+I54+I75+I81+I86+I92+I98+I107+I119+I156+I162+I167+I172+I189+I29+I113+I61</f>
        <v>160000</v>
      </c>
      <c r="J193" s="90">
        <f>J9+J24+J37+J43+J54+J75+J81+J86+J92+J98+J107+J119+J156+J162+J167+J172+J189+J29+J113+J61</f>
        <v>3576000</v>
      </c>
      <c r="K193" s="85">
        <f>K9+K24+K37+H43+K54+K75+K81+K86+K92+K98+K107+K119+K156+K162+K167+K172+K189+K29+K113</f>
        <v>4858000</v>
      </c>
      <c r="L193" s="29">
        <f>L9+L24+L37+L43+L54+L75+L81+L86+L92+L98+L107+L119+L156+L162+L167+L172+L189+L29+L113</f>
        <v>2622100</v>
      </c>
      <c r="M193" s="31">
        <f>M9+M24+M37+M43+M54+M75+M81+M86+M92+M98+M107+M119+M156+M162+M167+M172+M189+M29+M113</f>
        <v>2270800</v>
      </c>
      <c r="N193" s="90" t="e">
        <f>N9+N24+N37+K43+N54+N75+N81+N86+N92+N98+N107+N119+N156+N162+N167+N172+N189+N29+N113</f>
        <v>#VALUE!</v>
      </c>
    </row>
    <row r="194" spans="1:14" s="11" customFormat="1" ht="11.25">
      <c r="A194" s="48" t="s">
        <v>183</v>
      </c>
      <c r="B194" s="13"/>
      <c r="C194" s="14" t="s">
        <v>183</v>
      </c>
      <c r="D194" s="27" t="s">
        <v>185</v>
      </c>
      <c r="E194" s="28" t="e">
        <f>E10+E25+E38+E44+E55+#REF!+E76+E82+E87+E93+E99+E108+E120+E157+E163+E168+E173+E190+E30</f>
        <v>#REF!</v>
      </c>
      <c r="F194" s="29" t="e">
        <f>F10+F25+F38+F44+F55+#REF!+F76+F82+F87+F93+F99+F108+F120+F157+F163+F168+F173+F190+F30</f>
        <v>#REF!</v>
      </c>
      <c r="G194" s="85">
        <f>G10+G25+G38+G44+G55+G76+G82+G87+G93+G99+G108+G120+G157+G163+G168+G173+G190+G30+G114</f>
        <v>3046300</v>
      </c>
      <c r="H194" s="89">
        <f aca="true" t="shared" si="65" ref="H194:N194">H10+H25+H38+H44+H55+H62+H68+H76+H82+H87+H93+H99+H108+H120+H157+H163+H168+H173+H190+H30+H114</f>
        <v>3416000</v>
      </c>
      <c r="I194" s="29">
        <f>I10+I25+I38+I44+I55+I62+I68+I76+I82+I87+I93+I99+I108+I120+I157+I163+I168+I173+I190+I30+I114</f>
        <v>160000</v>
      </c>
      <c r="J194" s="90">
        <f t="shared" si="65"/>
        <v>3576000</v>
      </c>
      <c r="K194" s="85">
        <f t="shared" si="65"/>
        <v>5154200</v>
      </c>
      <c r="L194" s="29">
        <f t="shared" si="65"/>
        <v>2622100</v>
      </c>
      <c r="M194" s="31">
        <f t="shared" si="65"/>
        <v>2270800</v>
      </c>
      <c r="N194" s="90">
        <f t="shared" si="65"/>
        <v>0</v>
      </c>
    </row>
    <row r="195" spans="1:14" s="11" customFormat="1" ht="8.25" customHeight="1">
      <c r="A195" s="48"/>
      <c r="B195" s="13"/>
      <c r="C195" s="14"/>
      <c r="D195" s="27"/>
      <c r="E195" s="28"/>
      <c r="F195" s="29"/>
      <c r="G195" s="85"/>
      <c r="H195" s="89"/>
      <c r="I195" s="29"/>
      <c r="J195" s="90"/>
      <c r="K195" s="32"/>
      <c r="L195" s="30"/>
      <c r="M195" s="31"/>
      <c r="N195" s="32"/>
    </row>
    <row r="196" spans="1:14" s="11" customFormat="1" ht="11.25">
      <c r="A196" s="48"/>
      <c r="B196" s="13"/>
      <c r="C196" s="14"/>
      <c r="D196" s="27" t="s">
        <v>189</v>
      </c>
      <c r="E196" s="28" t="e">
        <f aca="true" t="shared" si="66" ref="E196:M196">E193-E194</f>
        <v>#REF!</v>
      </c>
      <c r="F196" s="29" t="e">
        <f t="shared" si="66"/>
        <v>#REF!</v>
      </c>
      <c r="G196" s="85">
        <f t="shared" si="66"/>
        <v>22100</v>
      </c>
      <c r="H196" s="89">
        <f>H193-H194</f>
        <v>0</v>
      </c>
      <c r="I196" s="29">
        <f>I193-I194</f>
        <v>0</v>
      </c>
      <c r="J196" s="90">
        <f>J193-J194</f>
        <v>0</v>
      </c>
      <c r="K196" s="32">
        <f t="shared" si="66"/>
        <v>-296200</v>
      </c>
      <c r="L196" s="30">
        <f t="shared" si="66"/>
        <v>0</v>
      </c>
      <c r="M196" s="31">
        <f t="shared" si="66"/>
        <v>0</v>
      </c>
      <c r="N196" s="32"/>
    </row>
    <row r="197" spans="1:14" s="11" customFormat="1" ht="12" thickBot="1">
      <c r="A197" s="54" t="s">
        <v>183</v>
      </c>
      <c r="B197" s="55"/>
      <c r="C197" s="56" t="s">
        <v>183</v>
      </c>
      <c r="D197" s="57"/>
      <c r="E197" s="58"/>
      <c r="F197" s="59"/>
      <c r="G197" s="87"/>
      <c r="H197" s="93"/>
      <c r="I197" s="59"/>
      <c r="J197" s="94"/>
      <c r="K197" s="83"/>
      <c r="L197" s="60"/>
      <c r="M197" s="61"/>
      <c r="N197" s="32"/>
    </row>
    <row r="198" spans="1:14" s="11" customFormat="1" ht="11.25">
      <c r="A198" s="62" t="s">
        <v>183</v>
      </c>
      <c r="B198" s="63"/>
      <c r="C198" s="62" t="s">
        <v>183</v>
      </c>
      <c r="D198" s="62"/>
      <c r="E198" s="64"/>
      <c r="F198" s="64"/>
      <c r="G198" s="64"/>
      <c r="H198" s="47"/>
      <c r="I198" s="47"/>
      <c r="J198" s="103"/>
      <c r="K198" s="47"/>
      <c r="L198" s="47"/>
      <c r="M198" s="47"/>
      <c r="N198" s="47"/>
    </row>
    <row r="199" spans="1:14" s="11" customFormat="1" ht="11.25">
      <c r="A199" s="62" t="s">
        <v>183</v>
      </c>
      <c r="B199" s="63"/>
      <c r="C199" s="62" t="s">
        <v>183</v>
      </c>
      <c r="D199" s="62"/>
      <c r="E199" s="64"/>
      <c r="F199" s="64"/>
      <c r="G199" s="64" t="s">
        <v>209</v>
      </c>
      <c r="H199" s="47"/>
      <c r="I199" s="46"/>
      <c r="J199" s="112"/>
      <c r="K199" s="46">
        <v>41900</v>
      </c>
      <c r="L199" s="46">
        <v>0</v>
      </c>
      <c r="M199" s="46">
        <v>0</v>
      </c>
      <c r="N199" s="47"/>
    </row>
    <row r="200" spans="4:14" ht="12.75">
      <c r="D200" s="11"/>
      <c r="E200" s="11"/>
      <c r="F200" s="65"/>
      <c r="G200" s="53"/>
      <c r="I200" s="111"/>
      <c r="J200" s="103"/>
      <c r="K200" s="47"/>
      <c r="L200" s="47"/>
      <c r="M200" s="47"/>
      <c r="N200" s="66"/>
    </row>
    <row r="201" spans="4:13" ht="12.75" customHeight="1">
      <c r="D201" s="6"/>
      <c r="E201" s="51"/>
      <c r="F201" s="67"/>
      <c r="G201" s="67"/>
      <c r="H201" s="67"/>
      <c r="I201" s="67"/>
      <c r="J201" s="104"/>
      <c r="L201" s="67"/>
      <c r="M201" s="67"/>
    </row>
    <row r="202" spans="4:13" ht="12.75">
      <c r="D202" s="11"/>
      <c r="E202" s="11"/>
      <c r="F202" s="65"/>
      <c r="G202" s="53"/>
      <c r="J202" s="103"/>
      <c r="K202" s="47"/>
      <c r="L202" s="47"/>
      <c r="M202" s="47"/>
    </row>
    <row r="203" spans="4:13" ht="12.75">
      <c r="D203" s="68"/>
      <c r="E203" s="69"/>
      <c r="F203" s="70"/>
      <c r="G203" s="70"/>
      <c r="H203" s="71"/>
      <c r="I203" s="71"/>
      <c r="J203" s="71"/>
      <c r="K203" s="52"/>
      <c r="L203" s="70"/>
      <c r="M203" s="70"/>
    </row>
    <row r="204" spans="4:6" ht="12.75">
      <c r="D204" s="72"/>
      <c r="E204" s="73"/>
      <c r="F204" s="74"/>
    </row>
    <row r="205" spans="4:6" ht="12.75">
      <c r="D205" s="72"/>
      <c r="E205" s="70"/>
      <c r="F205" s="70"/>
    </row>
    <row r="206" spans="4:15" ht="12.75">
      <c r="D206" s="72"/>
      <c r="E206" s="70"/>
      <c r="F206" s="74"/>
      <c r="G206" s="70"/>
      <c r="H206" s="75"/>
      <c r="I206" s="75"/>
      <c r="J206" s="105"/>
      <c r="K206" s="113"/>
      <c r="L206" s="76"/>
      <c r="M206" s="76"/>
      <c r="N206" s="70"/>
      <c r="O206" s="70"/>
    </row>
    <row r="207" spans="4:13" ht="12.75">
      <c r="D207" s="72"/>
      <c r="E207" s="70"/>
      <c r="F207" s="70"/>
      <c r="G207" s="70"/>
      <c r="H207" s="75"/>
      <c r="I207" s="75"/>
      <c r="J207" s="105"/>
      <c r="K207" s="20"/>
      <c r="L207" s="76"/>
      <c r="M207" s="76"/>
    </row>
    <row r="208" spans="4:13" ht="12.75">
      <c r="D208" s="72"/>
      <c r="E208" s="70"/>
      <c r="F208" s="70"/>
      <c r="G208" s="110"/>
      <c r="H208" s="77"/>
      <c r="I208" s="77"/>
      <c r="J208" s="77"/>
      <c r="K208" s="77"/>
      <c r="L208" s="75"/>
      <c r="M208" s="76"/>
    </row>
    <row r="209" spans="4:13" ht="12.75">
      <c r="D209" s="70"/>
      <c r="E209" s="70"/>
      <c r="F209" s="70"/>
      <c r="G209" s="70"/>
      <c r="H209" s="75"/>
      <c r="I209" s="75"/>
      <c r="J209" s="105"/>
      <c r="K209" s="105"/>
      <c r="L209" s="70"/>
      <c r="M209" s="70"/>
    </row>
    <row r="210" spans="7:13" ht="12.75">
      <c r="G210" s="70"/>
      <c r="H210" s="75"/>
      <c r="I210" s="75"/>
      <c r="J210" s="109"/>
      <c r="K210" s="109"/>
      <c r="L210" s="75"/>
      <c r="M210" s="75"/>
    </row>
    <row r="211" spans="7:13" ht="12.75">
      <c r="G211" s="70"/>
      <c r="H211" s="70"/>
      <c r="I211" s="70"/>
      <c r="J211" s="106"/>
      <c r="K211" s="106"/>
      <c r="L211" s="70"/>
      <c r="M211" s="70"/>
    </row>
    <row r="212" spans="5:11" ht="12.75">
      <c r="E212" s="67"/>
      <c r="F212" s="67"/>
      <c r="K212" s="107"/>
    </row>
    <row r="213" spans="8:15" ht="12.75">
      <c r="H213" s="67"/>
      <c r="I213" s="67"/>
      <c r="J213" s="67"/>
      <c r="K213" s="67"/>
      <c r="L213" s="67"/>
      <c r="M213" s="67"/>
      <c r="O213" s="78"/>
    </row>
    <row r="214" spans="5:15" ht="12.75">
      <c r="E214" s="79"/>
      <c r="F214" s="66"/>
      <c r="G214" s="66"/>
      <c r="H214" s="66"/>
      <c r="I214" s="66"/>
      <c r="J214" s="108"/>
      <c r="K214" s="66"/>
      <c r="L214" s="66"/>
      <c r="M214" s="66"/>
      <c r="O214" s="78"/>
    </row>
    <row r="215" spans="5:15" ht="12.75">
      <c r="E215" s="6"/>
      <c r="F215" s="67"/>
      <c r="G215" s="67"/>
      <c r="H215" s="67"/>
      <c r="I215" s="67"/>
      <c r="J215" s="104"/>
      <c r="K215" s="67"/>
      <c r="L215" s="67"/>
      <c r="M215" s="67"/>
      <c r="O215" s="78"/>
    </row>
    <row r="216" spans="5:15" ht="12.75">
      <c r="E216" s="6"/>
      <c r="F216" s="67"/>
      <c r="G216" s="67"/>
      <c r="H216" s="67"/>
      <c r="I216" s="67"/>
      <c r="J216" s="104"/>
      <c r="K216" s="67"/>
      <c r="L216" s="67"/>
      <c r="M216" s="67"/>
      <c r="O216" s="78"/>
    </row>
    <row r="217" spans="5:15" ht="12.75">
      <c r="E217" s="6"/>
      <c r="F217" s="67"/>
      <c r="G217" s="67"/>
      <c r="H217" s="67"/>
      <c r="I217" s="67"/>
      <c r="J217" s="104"/>
      <c r="K217" s="67"/>
      <c r="L217" s="67"/>
      <c r="M217" s="67"/>
      <c r="O217" s="78"/>
    </row>
    <row r="218" spans="5:15" ht="12.75">
      <c r="E218" s="6"/>
      <c r="F218" s="67"/>
      <c r="G218" s="67"/>
      <c r="H218" s="67"/>
      <c r="I218" s="67"/>
      <c r="J218" s="104"/>
      <c r="K218" s="67"/>
      <c r="L218" s="67"/>
      <c r="M218" s="67"/>
      <c r="O218" s="78"/>
    </row>
    <row r="219" spans="5:15" ht="12.75">
      <c r="E219" s="6"/>
      <c r="F219" s="67"/>
      <c r="G219" s="67"/>
      <c r="H219" s="67"/>
      <c r="I219" s="67"/>
      <c r="J219" s="104"/>
      <c r="K219" s="67"/>
      <c r="L219" s="67"/>
      <c r="M219" s="67"/>
      <c r="O219" s="78"/>
    </row>
    <row r="220" spans="5:15" ht="12.75">
      <c r="E220" s="6"/>
      <c r="O220" s="78"/>
    </row>
    <row r="221" ht="12.75">
      <c r="O221" s="78"/>
    </row>
    <row r="222" ht="12.75">
      <c r="O222" s="78"/>
    </row>
    <row r="223" ht="12.75">
      <c r="O223" s="78"/>
    </row>
    <row r="224" ht="12.75">
      <c r="O224" s="80"/>
    </row>
    <row r="225" ht="12.75">
      <c r="O225" s="80"/>
    </row>
    <row r="226" ht="12.75">
      <c r="O226" s="80"/>
    </row>
    <row r="227" ht="12.75">
      <c r="Q227" s="79"/>
    </row>
    <row r="228" ht="12.75">
      <c r="O228" s="80"/>
    </row>
  </sheetData>
  <sheetProtection/>
  <mergeCells count="1">
    <mergeCell ref="A2:C2"/>
  </mergeCells>
  <printOptions/>
  <pageMargins left="0.5905511811023623" right="0.2362204724409449" top="0.5118110236220472" bottom="0.31496062992125984" header="0.2362204724409449" footer="0.15748031496062992"/>
  <pageSetup horizontalDpi="600" verticalDpi="600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Koop</dc:creator>
  <cp:keywords/>
  <dc:description/>
  <cp:lastModifiedBy>Werner</cp:lastModifiedBy>
  <cp:lastPrinted>2014-08-19T07:57:25Z</cp:lastPrinted>
  <dcterms:created xsi:type="dcterms:W3CDTF">2013-11-13T12:16:43Z</dcterms:created>
  <dcterms:modified xsi:type="dcterms:W3CDTF">2014-08-20T12:05:05Z</dcterms:modified>
  <cp:category/>
  <cp:version/>
  <cp:contentType/>
  <cp:contentStatus/>
</cp:coreProperties>
</file>